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Alfredo Alfaro\Documents\ESPACIOTRABAJO\SEMANAL\OSM\PasivosLaborales\Ejercicios\"/>
    </mc:Choice>
  </mc:AlternateContent>
  <xr:revisionPtr revIDLastSave="0" documentId="8_{1F73B9ED-3D68-41DD-97CD-F73C1F526556}" xr6:coauthVersionLast="47" xr6:coauthVersionMax="47" xr10:uidLastSave="{00000000-0000-0000-0000-000000000000}"/>
  <bookViews>
    <workbookView xWindow="-110" yWindow="-110" windowWidth="21820" windowHeight="14020" activeTab="2" xr2:uid="{7F93446A-6834-478A-B97B-F583B3A7ADB7}"/>
  </bookViews>
  <sheets>
    <sheet name="TERMINACION" sheetId="1" r:id="rId1"/>
    <sheet name="PENSIONES" sheetId="4" r:id="rId2"/>
    <sheet name="PAGO UNICO" sheetId="3" r:id="rId3"/>
    <sheet name="PARAMETROS" sheetId="2" r:id="rId4"/>
  </sheets>
  <definedNames>
    <definedName name="DEDUC" localSheetId="2">'PAGO UNICO'!$AE$8</definedName>
    <definedName name="DEDUC" localSheetId="1">PENSIONES!$AC$8</definedName>
    <definedName name="DEDUC">PARAMETROS!$K$8</definedName>
    <definedName name="SMF" localSheetId="2">'PAGO UNICO'!$AE$6</definedName>
    <definedName name="SMF" localSheetId="1">PENSIONES!$AC$6</definedName>
    <definedName name="SMF">PARAMETROS!$K$6</definedName>
    <definedName name="SMG" localSheetId="2">'PAGO UNICO'!$AE$5</definedName>
    <definedName name="SMG" localSheetId="1">PENSIONES!$AC$5</definedName>
    <definedName name="SMG">PARAMETROS!$K$5</definedName>
    <definedName name="Tb_Imp">PARAMETROS!$A$4:$D$15</definedName>
    <definedName name="Tb_ImpAnual">PARAMETROS!$A$18:$D$29</definedName>
    <definedName name="Tb_Vac">PARAMETROS!$F$4:$H$13</definedName>
    <definedName name="TIMP" localSheetId="2">'PAGO UNICO'!$AE$7</definedName>
    <definedName name="TIMP" localSheetId="1">PENSIONES!$AC$7</definedName>
    <definedName name="TIMP">PARAMETROS!$K$7</definedName>
    <definedName name="UMA" localSheetId="2">'PAGO UNICO'!$AE$4</definedName>
    <definedName name="UMA" localSheetId="1">PENSIONES!$AC$4</definedName>
    <definedName name="UMA">PARAMETROS!$K$4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7" i="1" l="1"/>
  <c r="D18" i="1"/>
  <c r="F10" i="1"/>
  <c r="D45" i="4"/>
  <c r="D14" i="4"/>
  <c r="D13" i="4"/>
  <c r="D12" i="4"/>
  <c r="D11" i="4"/>
  <c r="J10" i="4"/>
  <c r="I40" i="3"/>
  <c r="D55" i="3"/>
  <c r="D46" i="3"/>
  <c r="D28" i="3"/>
  <c r="D14" i="3"/>
  <c r="I14" i="3" s="1"/>
  <c r="D13" i="3"/>
  <c r="D12" i="3"/>
  <c r="I12" i="3" s="1"/>
  <c r="D11" i="3"/>
  <c r="J10" i="3"/>
  <c r="F10" i="3" s="1"/>
  <c r="G10" i="3" s="1"/>
  <c r="D28" i="1"/>
  <c r="D12" i="1"/>
  <c r="I12" i="1" s="1"/>
  <c r="D14" i="1"/>
  <c r="I14" i="1" s="1"/>
  <c r="D11" i="1"/>
  <c r="I11" i="1" s="1"/>
  <c r="D13" i="1"/>
  <c r="I13" i="1" s="1"/>
  <c r="I41" i="1"/>
  <c r="D52" i="1"/>
  <c r="D15" i="4" l="1"/>
  <c r="I14" i="4"/>
  <c r="J14" i="4" s="1"/>
  <c r="I11" i="4"/>
  <c r="I13" i="4"/>
  <c r="D40" i="4"/>
  <c r="I12" i="4"/>
  <c r="J12" i="4" s="1"/>
  <c r="F10" i="4"/>
  <c r="J12" i="3"/>
  <c r="J14" i="3"/>
  <c r="I11" i="3"/>
  <c r="J11" i="3" s="1"/>
  <c r="I13" i="3"/>
  <c r="D15" i="3"/>
  <c r="D45" i="1"/>
  <c r="J10" i="1"/>
  <c r="J13" i="4" l="1"/>
  <c r="D56" i="4"/>
  <c r="D55" i="4"/>
  <c r="J11" i="4"/>
  <c r="D27" i="4" s="1"/>
  <c r="D44" i="4"/>
  <c r="D46" i="4" s="1"/>
  <c r="D41" i="4"/>
  <c r="F12" i="4"/>
  <c r="G12" i="4" s="1"/>
  <c r="F13" i="4"/>
  <c r="G13" i="4" s="1"/>
  <c r="F14" i="4"/>
  <c r="G14" i="4" s="1"/>
  <c r="I15" i="4"/>
  <c r="G10" i="4"/>
  <c r="J15" i="4"/>
  <c r="F11" i="3"/>
  <c r="J13" i="3"/>
  <c r="J15" i="3" s="1"/>
  <c r="F14" i="3"/>
  <c r="G14" i="3" s="1"/>
  <c r="D39" i="3"/>
  <c r="D38" i="3" s="1"/>
  <c r="I15" i="3"/>
  <c r="F12" i="3"/>
  <c r="G12" i="3" s="1"/>
  <c r="G10" i="1"/>
  <c r="J13" i="1"/>
  <c r="J14" i="1"/>
  <c r="D29" i="4" l="1"/>
  <c r="D30" i="4" s="1"/>
  <c r="F11" i="4"/>
  <c r="G11" i="4" s="1"/>
  <c r="D40" i="3"/>
  <c r="D41" i="3" s="1"/>
  <c r="D18" i="4"/>
  <c r="D50" i="4"/>
  <c r="D49" i="4"/>
  <c r="D52" i="4"/>
  <c r="D48" i="4"/>
  <c r="D27" i="3"/>
  <c r="D29" i="3" s="1"/>
  <c r="G11" i="3"/>
  <c r="F13" i="3"/>
  <c r="G13" i="3" s="1"/>
  <c r="D15" i="1"/>
  <c r="F13" i="1"/>
  <c r="G13" i="1" s="1"/>
  <c r="F14" i="1"/>
  <c r="G14" i="1" s="1"/>
  <c r="J12" i="1"/>
  <c r="I15" i="1"/>
  <c r="D22" i="1"/>
  <c r="D20" i="1"/>
  <c r="D19" i="1"/>
  <c r="D31" i="4" l="1"/>
  <c r="D33" i="4"/>
  <c r="F15" i="4"/>
  <c r="G15" i="4" s="1"/>
  <c r="D32" i="4"/>
  <c r="D51" i="4"/>
  <c r="D53" i="4" s="1"/>
  <c r="D47" i="4" s="1"/>
  <c r="D45" i="3"/>
  <c r="D47" i="3" s="1"/>
  <c r="D44" i="3"/>
  <c r="D54" i="3"/>
  <c r="D56" i="3" s="1"/>
  <c r="J40" i="3"/>
  <c r="F40" i="3" s="1"/>
  <c r="G40" i="3" s="1"/>
  <c r="D22" i="4"/>
  <c r="D20" i="4"/>
  <c r="D19" i="4"/>
  <c r="D49" i="3"/>
  <c r="F15" i="3"/>
  <c r="G15" i="3" s="1"/>
  <c r="D30" i="3"/>
  <c r="D33" i="3"/>
  <c r="D31" i="3"/>
  <c r="D21" i="1"/>
  <c r="D23" i="1" s="1"/>
  <c r="D24" i="1" s="1"/>
  <c r="D47" i="1" s="1"/>
  <c r="D39" i="1"/>
  <c r="D38" i="1"/>
  <c r="J11" i="1"/>
  <c r="F12" i="1"/>
  <c r="G12" i="1" s="1"/>
  <c r="D34" i="4" l="1"/>
  <c r="D35" i="4" s="1"/>
  <c r="D54" i="4"/>
  <c r="D58" i="4"/>
  <c r="D57" i="4"/>
  <c r="D21" i="4"/>
  <c r="D23" i="4" s="1"/>
  <c r="D24" i="4" s="1"/>
  <c r="D32" i="3"/>
  <c r="D34" i="3" s="1"/>
  <c r="D18" i="3"/>
  <c r="D19" i="3" s="1"/>
  <c r="D29" i="1"/>
  <c r="D41" i="1"/>
  <c r="J15" i="1"/>
  <c r="F11" i="1"/>
  <c r="G11" i="1" s="1"/>
  <c r="D59" i="4" l="1"/>
  <c r="D35" i="3"/>
  <c r="D57" i="3" s="1"/>
  <c r="D58" i="3" s="1"/>
  <c r="D20" i="3"/>
  <c r="D21" i="3" s="1"/>
  <c r="D22" i="3"/>
  <c r="D30" i="1"/>
  <c r="D31" i="1"/>
  <c r="D33" i="1"/>
  <c r="J41" i="1"/>
  <c r="F41" i="1" s="1"/>
  <c r="G41" i="1" s="1"/>
  <c r="D51" i="1"/>
  <c r="D44" i="1"/>
  <c r="D46" i="1" s="1"/>
  <c r="F15" i="1"/>
  <c r="G15" i="1" s="1"/>
  <c r="D32" i="1" l="1"/>
  <c r="D34" i="1" s="1"/>
  <c r="D35" i="1" s="1"/>
  <c r="D54" i="1" s="1"/>
  <c r="D23" i="3"/>
  <c r="D48" i="3" s="1"/>
  <c r="D50" i="3" s="1"/>
  <c r="D48" i="1"/>
  <c r="D56" i="1" s="1"/>
  <c r="D53" i="1"/>
  <c r="D55" i="1" l="1"/>
  <c r="D51" i="3"/>
  <c r="D59" i="3"/>
  <c r="D60" i="3" s="1"/>
  <c r="D24" i="3"/>
  <c r="D5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Alfredo Alfaro</author>
  </authors>
  <commentList>
    <comment ref="F5" authorId="0" shapeId="0" xr:uid="{AFCC6787-B3C6-44E9-9927-C767F849E8E0}">
      <text>
        <r>
          <rPr>
            <b/>
            <sz val="9"/>
            <color indexed="81"/>
            <rFont val="Tahoma"/>
            <charset val="1"/>
          </rPr>
          <t>Alfredo Alfaro:</t>
        </r>
        <r>
          <rPr>
            <sz val="9"/>
            <color indexed="81"/>
            <rFont val="Tahoma"/>
            <charset val="1"/>
          </rPr>
          <t xml:space="preserve">
DEDUCCION:
- 53% parte exenta
- 100% parte excedente a la exenta</t>
        </r>
      </text>
    </comment>
    <comment ref="I5" authorId="0" shapeId="0" xr:uid="{F04AF738-BFA9-4E41-B865-A306ECA1AF8F}">
      <text>
        <r>
          <rPr>
            <b/>
            <sz val="9"/>
            <color indexed="81"/>
            <rFont val="Tahoma"/>
            <charset val="1"/>
          </rPr>
          <t>Alfredo Alfaro:</t>
        </r>
        <r>
          <rPr>
            <sz val="9"/>
            <color indexed="81"/>
            <rFont val="Tahoma"/>
            <charset val="1"/>
          </rPr>
          <t xml:space="preserve">
93 LISR: Exención de las prestaciones</t>
        </r>
      </text>
    </comment>
    <comment ref="J5" authorId="0" shapeId="0" xr:uid="{3F181AF8-7883-4EEC-BE24-9D9702EB12EB}">
      <text>
        <r>
          <rPr>
            <b/>
            <sz val="9"/>
            <color indexed="81"/>
            <rFont val="Tahoma"/>
            <charset val="1"/>
          </rPr>
          <t>Alfredo Alfaro:</t>
        </r>
        <r>
          <rPr>
            <sz val="9"/>
            <color indexed="81"/>
            <rFont val="Tahoma"/>
            <charset val="1"/>
          </rPr>
          <t xml:space="preserve">
Porción excedente al límite de exención del 93 LISR</t>
        </r>
      </text>
    </comment>
    <comment ref="G15" authorId="0" shapeId="0" xr:uid="{CE54135A-435F-4C54-9373-CA1E56ABBF2A}">
      <text>
        <r>
          <rPr>
            <b/>
            <sz val="9"/>
            <color indexed="81"/>
            <rFont val="Tahoma"/>
            <family val="2"/>
          </rPr>
          <t>Alfredo Alfaro:</t>
        </r>
        <r>
          <rPr>
            <sz val="9"/>
            <color indexed="81"/>
            <rFont val="Tahoma"/>
            <family val="2"/>
          </rPr>
          <t xml:space="preserve">
Promedio de las deducción al 100% (partidas no exentas), y 53% del monto exento </t>
        </r>
      </text>
    </comment>
    <comment ref="B17" authorId="0" shapeId="0" xr:uid="{D31C6427-C0A5-40BC-85C9-7ED41E95CEBF}">
      <text>
        <r>
          <rPr>
            <b/>
            <sz val="9"/>
            <color indexed="81"/>
            <rFont val="Tahoma"/>
            <family val="2"/>
          </rPr>
          <t>Alfredo Alfaro:</t>
        </r>
        <r>
          <rPr>
            <sz val="9"/>
            <color indexed="81"/>
            <rFont val="Tahoma"/>
            <family val="2"/>
          </rPr>
          <t xml:space="preserve">
Para determinar el impuesto privisional, se requiere determinar las tasa impositiva del sueldo base</t>
        </r>
      </text>
    </comment>
    <comment ref="B19" authorId="0" shapeId="0" xr:uid="{A42F53E0-B019-4722-B051-81088481B414}">
      <text>
        <r>
          <rPr>
            <b/>
            <sz val="9"/>
            <color indexed="81"/>
            <rFont val="Tahoma"/>
            <family val="2"/>
          </rPr>
          <t>Alfredo Alfaro:</t>
        </r>
        <r>
          <rPr>
            <sz val="9"/>
            <color indexed="81"/>
            <rFont val="Tahoma"/>
            <family val="2"/>
          </rPr>
          <t xml:space="preserve">
En base a la tabla de impuestos mensuales para el ejercicio 2022</t>
        </r>
      </text>
    </comment>
    <comment ref="B20" authorId="0" shapeId="0" xr:uid="{DF9F4FB2-F1B8-4A9C-9ED5-91FAD77EEC6F}">
      <text>
        <r>
          <rPr>
            <b/>
            <sz val="9"/>
            <color indexed="81"/>
            <rFont val="Tahoma"/>
            <family val="2"/>
          </rPr>
          <t>Alfredo Alfaro:</t>
        </r>
        <r>
          <rPr>
            <sz val="9"/>
            <color indexed="81"/>
            <rFont val="Tahoma"/>
            <family val="2"/>
          </rPr>
          <t xml:space="preserve">
En base a la tabla de impuestos mensuales para el ejercicio 2022</t>
        </r>
      </text>
    </comment>
    <comment ref="B22" authorId="0" shapeId="0" xr:uid="{B656B815-550C-4497-AA7A-F7A4387C336B}">
      <text>
        <r>
          <rPr>
            <b/>
            <sz val="9"/>
            <color indexed="81"/>
            <rFont val="Tahoma"/>
            <family val="2"/>
          </rPr>
          <t>Alfredo Alfaro:</t>
        </r>
        <r>
          <rPr>
            <sz val="9"/>
            <color indexed="81"/>
            <rFont val="Tahoma"/>
            <family val="2"/>
          </rPr>
          <t xml:space="preserve">
En base a la tabla de impuestos mensuales para el ejercicio 2022</t>
        </r>
      </text>
    </comment>
    <comment ref="B27" authorId="0" shapeId="0" xr:uid="{6BB29FA9-9260-4FA9-B5DF-D4D1EFF47DFF}">
      <text>
        <r>
          <rPr>
            <b/>
            <sz val="9"/>
            <color indexed="81"/>
            <rFont val="Tahoma"/>
            <family val="2"/>
          </rPr>
          <t>Alfredo Alfaro:</t>
        </r>
        <r>
          <rPr>
            <sz val="9"/>
            <color indexed="81"/>
            <rFont val="Tahoma"/>
            <family val="2"/>
          </rPr>
          <t xml:space="preserve">
- Deben incluir todos los ingresos por salario descontando las partes exentas.
- Además deberían inclui otro ingresos como: Intereses de inversiones, arrendamientos de inmuebles, honorarios profesionales, etc.
- Para el ejercio sólo hemos considerado los ingresos (algunos) por sueldos.</t>
        </r>
      </text>
    </comment>
    <comment ref="B28" authorId="0" shapeId="0" xr:uid="{8B577876-BB82-4CE4-8270-396092AED75E}">
      <text>
        <r>
          <rPr>
            <b/>
            <sz val="9"/>
            <color indexed="81"/>
            <rFont val="Tahoma"/>
            <family val="2"/>
          </rPr>
          <t>Alfredo Alfaro:</t>
        </r>
        <r>
          <rPr>
            <sz val="9"/>
            <color indexed="81"/>
            <rFont val="Tahoma"/>
            <family val="2"/>
          </rPr>
          <t xml:space="preserve">
Para determinar el impuesto anual, se debe adicionar un mes de sueldo para obtener las tasa impositiva a aplicar a los ingresos excedentes a la exención</t>
        </r>
      </text>
    </comment>
    <comment ref="B30" authorId="0" shapeId="0" xr:uid="{8615669A-BE9A-408A-B810-ACD6AB40C736}">
      <text>
        <r>
          <rPr>
            <b/>
            <sz val="9"/>
            <color indexed="81"/>
            <rFont val="Tahoma"/>
            <family val="2"/>
          </rPr>
          <t>Alfredo Alfaro:</t>
        </r>
        <r>
          <rPr>
            <sz val="9"/>
            <color indexed="81"/>
            <rFont val="Tahoma"/>
            <family val="2"/>
          </rPr>
          <t xml:space="preserve">
En base a la tabla de impuestosanualizada para el ejercicio 2022</t>
        </r>
      </text>
    </comment>
    <comment ref="B31" authorId="0" shapeId="0" xr:uid="{209F08DD-385A-44D0-AAC9-6B0FA99B6E07}">
      <text>
        <r>
          <rPr>
            <b/>
            <sz val="9"/>
            <color indexed="81"/>
            <rFont val="Tahoma"/>
            <family val="2"/>
          </rPr>
          <t>Alfredo Alfaro:</t>
        </r>
        <r>
          <rPr>
            <sz val="9"/>
            <color indexed="81"/>
            <rFont val="Tahoma"/>
            <family val="2"/>
          </rPr>
          <t xml:space="preserve">
En base a la tabla de impuestosanualizada para el ejercicio 2022</t>
        </r>
      </text>
    </comment>
    <comment ref="B33" authorId="0" shapeId="0" xr:uid="{1CF7947A-C9A4-45EB-A7CF-5197D583BC41}">
      <text>
        <r>
          <rPr>
            <b/>
            <sz val="9"/>
            <color indexed="81"/>
            <rFont val="Tahoma"/>
            <family val="2"/>
          </rPr>
          <t>Alfredo Alfaro:</t>
        </r>
        <r>
          <rPr>
            <sz val="9"/>
            <color indexed="81"/>
            <rFont val="Tahoma"/>
            <family val="2"/>
          </rPr>
          <t xml:space="preserve">
En base a la tabla de impuestosanualizada para el ejercicio 2022</t>
        </r>
      </text>
    </comment>
    <comment ref="G41" authorId="0" shapeId="0" xr:uid="{3FE1B7C2-DE58-4C20-BD6C-97B5D8742D64}">
      <text>
        <r>
          <rPr>
            <b/>
            <sz val="9"/>
            <color indexed="81"/>
            <rFont val="Tahoma"/>
            <family val="2"/>
          </rPr>
          <t>Alfredo Alfaro:</t>
        </r>
        <r>
          <rPr>
            <sz val="9"/>
            <color indexed="81"/>
            <rFont val="Tahoma"/>
            <family val="2"/>
          </rPr>
          <t xml:space="preserve">
Promedio de la deducción del 100% para la porción no exenta y 53% para la porción exenta</t>
        </r>
      </text>
    </comment>
    <comment ref="B45" authorId="0" shapeId="0" xr:uid="{5A7BED0C-53DB-4706-85EF-B96939463789}">
      <text>
        <r>
          <rPr>
            <b/>
            <sz val="9"/>
            <color indexed="81"/>
            <rFont val="Tahoma"/>
            <family val="2"/>
          </rPr>
          <t>Alfredo Alfaro:</t>
        </r>
        <r>
          <rPr>
            <sz val="9"/>
            <color indexed="81"/>
            <rFont val="Tahoma"/>
            <family val="2"/>
          </rPr>
          <t xml:space="preserve">
Exensión de 90 UMAs por cada año de antigüedad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Alfredo Alfaro</author>
  </authors>
  <commentList>
    <comment ref="F5" authorId="0" shapeId="0" xr:uid="{DA2E4886-46BC-48BD-AB4F-881CA26A159F}">
      <text>
        <r>
          <rPr>
            <b/>
            <sz val="9"/>
            <color indexed="81"/>
            <rFont val="Tahoma"/>
            <charset val="1"/>
          </rPr>
          <t>Alfredo Alfaro:</t>
        </r>
        <r>
          <rPr>
            <sz val="9"/>
            <color indexed="81"/>
            <rFont val="Tahoma"/>
            <charset val="1"/>
          </rPr>
          <t xml:space="preserve">
DEDUCCION:
- 53% parte exenta
- 100% parte excedente a la exenta</t>
        </r>
      </text>
    </comment>
    <comment ref="I5" authorId="0" shapeId="0" xr:uid="{3A75D1EB-68B9-4B5C-9988-9A2FBF6F2AF3}">
      <text>
        <r>
          <rPr>
            <b/>
            <sz val="9"/>
            <color indexed="81"/>
            <rFont val="Tahoma"/>
            <charset val="1"/>
          </rPr>
          <t>Alfredo Alfaro:</t>
        </r>
        <r>
          <rPr>
            <sz val="9"/>
            <color indexed="81"/>
            <rFont val="Tahoma"/>
            <charset val="1"/>
          </rPr>
          <t xml:space="preserve">
93 LISR: Exención de las prestaciones</t>
        </r>
      </text>
    </comment>
    <comment ref="J5" authorId="0" shapeId="0" xr:uid="{1980AC3B-7477-4B15-B3A6-97901B8A65EB}">
      <text>
        <r>
          <rPr>
            <b/>
            <sz val="9"/>
            <color indexed="81"/>
            <rFont val="Tahoma"/>
            <charset val="1"/>
          </rPr>
          <t>Alfredo Alfaro:</t>
        </r>
        <r>
          <rPr>
            <sz val="9"/>
            <color indexed="81"/>
            <rFont val="Tahoma"/>
            <charset val="1"/>
          </rPr>
          <t xml:space="preserve">
Porción excedente al límite de exención del 93 LISR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Alfredo Alfaro</author>
  </authors>
  <commentList>
    <comment ref="F5" authorId="0" shapeId="0" xr:uid="{411A2F41-4EE0-4D4F-B6D7-DE992425C3D4}">
      <text>
        <r>
          <rPr>
            <b/>
            <sz val="9"/>
            <color indexed="81"/>
            <rFont val="Tahoma"/>
            <charset val="1"/>
          </rPr>
          <t>Alfredo Alfaro:</t>
        </r>
        <r>
          <rPr>
            <sz val="9"/>
            <color indexed="81"/>
            <rFont val="Tahoma"/>
            <charset val="1"/>
          </rPr>
          <t xml:space="preserve">
DEDUCCION:
- 53% parte exenta
- 100% parte excedente a la exenta</t>
        </r>
      </text>
    </comment>
    <comment ref="I5" authorId="0" shapeId="0" xr:uid="{EDF6A365-FC55-403F-ABD0-A8095CDFB002}">
      <text>
        <r>
          <rPr>
            <b/>
            <sz val="9"/>
            <color indexed="81"/>
            <rFont val="Tahoma"/>
            <charset val="1"/>
          </rPr>
          <t>Alfredo Alfaro:</t>
        </r>
        <r>
          <rPr>
            <sz val="9"/>
            <color indexed="81"/>
            <rFont val="Tahoma"/>
            <charset val="1"/>
          </rPr>
          <t xml:space="preserve">
93 LISR: Exención de las prestaciones</t>
        </r>
      </text>
    </comment>
    <comment ref="J5" authorId="0" shapeId="0" xr:uid="{F7AC8961-8579-4C3B-B0B7-6BBB716293FC}">
      <text>
        <r>
          <rPr>
            <b/>
            <sz val="9"/>
            <color indexed="81"/>
            <rFont val="Tahoma"/>
            <charset val="1"/>
          </rPr>
          <t>Alfredo Alfaro:</t>
        </r>
        <r>
          <rPr>
            <sz val="9"/>
            <color indexed="81"/>
            <rFont val="Tahoma"/>
            <charset val="1"/>
          </rPr>
          <t xml:space="preserve">
Porción excedente al límite de exención del 93 LISR</t>
        </r>
      </text>
    </comment>
    <comment ref="G15" authorId="0" shapeId="0" xr:uid="{DBA14C9E-52CD-4F85-9D75-F5D6216D2341}">
      <text>
        <r>
          <rPr>
            <b/>
            <sz val="9"/>
            <color indexed="81"/>
            <rFont val="Tahoma"/>
            <family val="2"/>
          </rPr>
          <t>Alfredo Alfaro:</t>
        </r>
        <r>
          <rPr>
            <sz val="9"/>
            <color indexed="81"/>
            <rFont val="Tahoma"/>
            <family val="2"/>
          </rPr>
          <t xml:space="preserve">
Promedio de las deducción al 100% (partidas no exentas), y 53% del monto exento </t>
        </r>
      </text>
    </comment>
    <comment ref="B18" authorId="0" shapeId="0" xr:uid="{EB988F7F-C94C-4438-9BC6-FDF76AB8A793}">
      <text>
        <r>
          <rPr>
            <b/>
            <sz val="9"/>
            <color indexed="81"/>
            <rFont val="Tahoma"/>
            <family val="2"/>
          </rPr>
          <t>Alfredo Alfaro:</t>
        </r>
        <r>
          <rPr>
            <sz val="9"/>
            <color indexed="81"/>
            <rFont val="Tahoma"/>
            <family val="2"/>
          </rPr>
          <t xml:space="preserve">
Pensión gravable es la cantidad neta entre la pensión bruta menos la exención (15 UMAs)</t>
        </r>
      </text>
    </comment>
    <comment ref="B19" authorId="0" shapeId="0" xr:uid="{00A75E98-EA25-4F47-972C-F74C7762FC29}">
      <text>
        <r>
          <rPr>
            <b/>
            <sz val="9"/>
            <color indexed="81"/>
            <rFont val="Tahoma"/>
            <family val="2"/>
          </rPr>
          <t>Alfredo Alfaro:</t>
        </r>
        <r>
          <rPr>
            <sz val="9"/>
            <color indexed="81"/>
            <rFont val="Tahoma"/>
            <family val="2"/>
          </rPr>
          <t xml:space="preserve">
En base a la tabla de impuestos mensuales para el ejercicio 2022</t>
        </r>
      </text>
    </comment>
    <comment ref="B20" authorId="0" shapeId="0" xr:uid="{1B126E60-64E3-4A16-B4ED-04902A9CC231}">
      <text>
        <r>
          <rPr>
            <b/>
            <sz val="9"/>
            <color indexed="81"/>
            <rFont val="Tahoma"/>
            <family val="2"/>
          </rPr>
          <t>Alfredo Alfaro:</t>
        </r>
        <r>
          <rPr>
            <sz val="9"/>
            <color indexed="81"/>
            <rFont val="Tahoma"/>
            <family val="2"/>
          </rPr>
          <t xml:space="preserve">
En base a la tabla de impuestos mensuales para el ejercicio 2022</t>
        </r>
      </text>
    </comment>
    <comment ref="B22" authorId="0" shapeId="0" xr:uid="{F438F55D-00E4-400F-8552-7D421B199EA3}">
      <text>
        <r>
          <rPr>
            <b/>
            <sz val="9"/>
            <color indexed="81"/>
            <rFont val="Tahoma"/>
            <family val="2"/>
          </rPr>
          <t>Alfredo Alfaro:</t>
        </r>
        <r>
          <rPr>
            <sz val="9"/>
            <color indexed="81"/>
            <rFont val="Tahoma"/>
            <family val="2"/>
          </rPr>
          <t xml:space="preserve">
En base a la tabla de impuestos mensuales para el ejercicio 2022</t>
        </r>
      </text>
    </comment>
    <comment ref="B27" authorId="0" shapeId="0" xr:uid="{AE4D5BD3-900D-48F6-85EB-6AEA61CB12AE}">
      <text>
        <r>
          <rPr>
            <b/>
            <sz val="9"/>
            <color indexed="81"/>
            <rFont val="Tahoma"/>
            <family val="2"/>
          </rPr>
          <t>Alfredo Alfaro:</t>
        </r>
        <r>
          <rPr>
            <sz val="9"/>
            <color indexed="81"/>
            <rFont val="Tahoma"/>
            <family val="2"/>
          </rPr>
          <t xml:space="preserve">
- Deben incluir todos los ingresos por salario descontando las partes exentas.
- Además deberían inclui otro ingresos como: Intereses de inversiones, arrendamientos de inmuebles, honorarios profesionales, etc.
- Para el ejercio sólo hemos considerado los ingresos (algunos) por sueldos.</t>
        </r>
      </text>
    </comment>
    <comment ref="B28" authorId="0" shapeId="0" xr:uid="{F25C6905-A6F7-46EE-826B-7882BFCA0DCA}">
      <text>
        <r>
          <rPr>
            <b/>
            <sz val="9"/>
            <color indexed="81"/>
            <rFont val="Tahoma"/>
            <family val="2"/>
          </rPr>
          <t>Alfredo Alfaro:</t>
        </r>
        <r>
          <rPr>
            <sz val="9"/>
            <color indexed="81"/>
            <rFont val="Tahoma"/>
            <family val="2"/>
          </rPr>
          <t xml:space="preserve">
Para determinar el impuesto anual, se debe adicionar un mes de sueldo para obtener las tasa impositiva a aplicar a los ingresos excedentes a la exención</t>
        </r>
      </text>
    </comment>
    <comment ref="B30" authorId="0" shapeId="0" xr:uid="{91563DA5-FF5C-4A6F-A7AF-38104FEEAD01}">
      <text>
        <r>
          <rPr>
            <b/>
            <sz val="9"/>
            <color indexed="81"/>
            <rFont val="Tahoma"/>
            <family val="2"/>
          </rPr>
          <t>Alfredo Alfaro:</t>
        </r>
        <r>
          <rPr>
            <sz val="9"/>
            <color indexed="81"/>
            <rFont val="Tahoma"/>
            <family val="2"/>
          </rPr>
          <t xml:space="preserve">
En base a la tabla de impuestosanualizada para el ejercicio 2022</t>
        </r>
      </text>
    </comment>
    <comment ref="B31" authorId="0" shapeId="0" xr:uid="{EF7BC680-5039-4497-AFDB-A90C00361D31}">
      <text>
        <r>
          <rPr>
            <b/>
            <sz val="9"/>
            <color indexed="81"/>
            <rFont val="Tahoma"/>
            <family val="2"/>
          </rPr>
          <t>Alfredo Alfaro:</t>
        </r>
        <r>
          <rPr>
            <sz val="9"/>
            <color indexed="81"/>
            <rFont val="Tahoma"/>
            <family val="2"/>
          </rPr>
          <t xml:space="preserve">
En base a la tabla de impuestosanualizada para el ejercicio 2022</t>
        </r>
      </text>
    </comment>
    <comment ref="B33" authorId="0" shapeId="0" xr:uid="{8EE13E0F-1636-4219-B118-BA3C7B51F7CC}">
      <text>
        <r>
          <rPr>
            <b/>
            <sz val="9"/>
            <color indexed="81"/>
            <rFont val="Tahoma"/>
            <family val="2"/>
          </rPr>
          <t>Alfredo Alfaro:</t>
        </r>
        <r>
          <rPr>
            <sz val="9"/>
            <color indexed="81"/>
            <rFont val="Tahoma"/>
            <family val="2"/>
          </rPr>
          <t xml:space="preserve">
En base a la tabla de impuestosanualizada para el ejercicio 2022</t>
        </r>
      </text>
    </comment>
    <comment ref="G40" authorId="0" shapeId="0" xr:uid="{D7525FDC-B810-4504-8108-C0766E4B6DE7}">
      <text>
        <r>
          <rPr>
            <b/>
            <sz val="9"/>
            <color indexed="81"/>
            <rFont val="Tahoma"/>
            <family val="2"/>
          </rPr>
          <t>Alfredo Alfaro:</t>
        </r>
        <r>
          <rPr>
            <sz val="9"/>
            <color indexed="81"/>
            <rFont val="Tahoma"/>
            <family val="2"/>
          </rPr>
          <t xml:space="preserve">
Es un dato ejemplificativo para observar la tasa de deducción promedio en caso de que la empresa pagará todo el beneficio de jubilación. Es logico que la que la tasa de deducción sea menor a la que se obtiene en el caso de indemnizaciones, ya que ésta ultima exenta en una cantidad menos a la del plan de jubialción
Promedio de la deducción del 100% para la porción no exenta y 53% para la porción exenta</t>
        </r>
      </text>
    </comment>
    <comment ref="D41" authorId="0" shapeId="0" xr:uid="{9A7E26F5-42CF-4B0A-9F8F-894E75AD4C20}">
      <text>
        <r>
          <rPr>
            <b/>
            <sz val="9"/>
            <color indexed="81"/>
            <rFont val="Tahoma"/>
            <family val="2"/>
          </rPr>
          <t>Alfredo Alfaro:</t>
        </r>
        <r>
          <rPr>
            <sz val="9"/>
            <color indexed="81"/>
            <rFont val="Tahoma"/>
            <family val="2"/>
          </rPr>
          <t xml:space="preserve">
El factor de la anualidad es sólo para ejemplicar el caso, por lo que no tiene una base técnica</t>
        </r>
      </text>
    </comment>
  </commentList>
</comments>
</file>

<file path=xl/sharedStrings.xml><?xml version="1.0" encoding="utf-8"?>
<sst xmlns="http://schemas.openxmlformats.org/spreadsheetml/2006/main" count="207" uniqueCount="94">
  <si>
    <t>Prima de antigüedad</t>
  </si>
  <si>
    <t>Indemnización legal</t>
  </si>
  <si>
    <t>Otro Retiro</t>
  </si>
  <si>
    <t>Total</t>
  </si>
  <si>
    <t>UMA</t>
  </si>
  <si>
    <t>SMG</t>
  </si>
  <si>
    <t>SMF</t>
  </si>
  <si>
    <t>Edad</t>
  </si>
  <si>
    <t>Antigüedad</t>
  </si>
  <si>
    <t>Sueldo base</t>
  </si>
  <si>
    <t>Aguinaldo</t>
  </si>
  <si>
    <t>Prima vacacional</t>
  </si>
  <si>
    <t>Fondo de ahorro</t>
  </si>
  <si>
    <t>Vales de despensa</t>
  </si>
  <si>
    <t>INFORMACION</t>
  </si>
  <si>
    <t>Tasa impositiva</t>
  </si>
  <si>
    <t>Impuesto</t>
  </si>
  <si>
    <t>IMPUESTO PROVISIONAL</t>
  </si>
  <si>
    <t>PAGOS REALIZADOS</t>
  </si>
  <si>
    <t>Sueldo ordinario</t>
  </si>
  <si>
    <t>Límite inferior</t>
  </si>
  <si>
    <t>% de impuesto</t>
  </si>
  <si>
    <t>Impuesto marginal</t>
  </si>
  <si>
    <t>Cuota fija</t>
  </si>
  <si>
    <t>Exensión</t>
  </si>
  <si>
    <t>Ingreso gravable</t>
  </si>
  <si>
    <t>Tasa al sueldo</t>
  </si>
  <si>
    <t>Impuesto provisional</t>
  </si>
  <si>
    <t>PARAMETROS</t>
  </si>
  <si>
    <t>MENSUAL</t>
  </si>
  <si>
    <t>Límite superior</t>
  </si>
  <si>
    <t>%</t>
  </si>
  <si>
    <t xml:space="preserve"> En adelante </t>
  </si>
  <si>
    <t>ANUAL</t>
  </si>
  <si>
    <t>En adelante</t>
  </si>
  <si>
    <t>Ingresos acumulables</t>
  </si>
  <si>
    <t>Base gravable</t>
  </si>
  <si>
    <t>IMPUESTO ANUAL</t>
  </si>
  <si>
    <t>Ingresos por terminación</t>
  </si>
  <si>
    <t>Pago pronisional</t>
  </si>
  <si>
    <t>Ajuste anual</t>
  </si>
  <si>
    <t>EMPLEADO</t>
  </si>
  <si>
    <t>EMPRESA</t>
  </si>
  <si>
    <t>TIMP</t>
  </si>
  <si>
    <t>%DEDUC</t>
  </si>
  <si>
    <t>EXENTO</t>
  </si>
  <si>
    <t>EXCEDENTE</t>
  </si>
  <si>
    <t>% DEDUC</t>
  </si>
  <si>
    <t>TERMINACION DE LA RELACION LABORAL</t>
  </si>
  <si>
    <t>Pagos, deducciones e impuesto</t>
  </si>
  <si>
    <t>BENEFICIO</t>
  </si>
  <si>
    <t xml:space="preserve">      D E D U C C  I O N</t>
  </si>
  <si>
    <t>TABLA DE VACACIONES LFT</t>
  </si>
  <si>
    <t>Inferior</t>
  </si>
  <si>
    <t>Superior</t>
  </si>
  <si>
    <t>Vacaciones</t>
  </si>
  <si>
    <t xml:space="preserve">  G A S T O  C O M P A Ñ I A</t>
  </si>
  <si>
    <t>INGRESOS IMPUESTO (ANUAL)</t>
  </si>
  <si>
    <t>PLAN DE JUBILACION</t>
  </si>
  <si>
    <t>Contribución definida</t>
  </si>
  <si>
    <t>Beneficio definido</t>
  </si>
  <si>
    <t>Pensión equivalente</t>
  </si>
  <si>
    <t>PENSION IMPUESTO (MES)</t>
  </si>
  <si>
    <t>Pensión gravable</t>
  </si>
  <si>
    <t xml:space="preserve">   - Impuesto</t>
  </si>
  <si>
    <t xml:space="preserve">   - Impuesto provisional</t>
  </si>
  <si>
    <t xml:space="preserve">   - Pensión equivalente</t>
  </si>
  <si>
    <t xml:space="preserve">   - Exensión</t>
  </si>
  <si>
    <t xml:space="preserve">   - Ingreso gravable</t>
  </si>
  <si>
    <t xml:space="preserve">     - Ingreso gravable</t>
  </si>
  <si>
    <t xml:space="preserve">     - Límite inferior</t>
  </si>
  <si>
    <t xml:space="preserve">     - % impuesto</t>
  </si>
  <si>
    <t xml:space="preserve">     - Impuesto marginal</t>
  </si>
  <si>
    <t xml:space="preserve">     - Cuota fija</t>
  </si>
  <si>
    <t xml:space="preserve">     - Impuesto</t>
  </si>
  <si>
    <t>Pago único neto</t>
  </si>
  <si>
    <t>Pago único bruto</t>
  </si>
  <si>
    <t>Pago provisional</t>
  </si>
  <si>
    <t xml:space="preserve">   - Factor</t>
  </si>
  <si>
    <t>Pensión 1</t>
  </si>
  <si>
    <t>Pensión 2</t>
  </si>
  <si>
    <t>% reemplazo (sueldo base)</t>
  </si>
  <si>
    <t>Total de pensiones</t>
  </si>
  <si>
    <t>Pensiones acumulables</t>
  </si>
  <si>
    <t>Pensión neta</t>
  </si>
  <si>
    <t>Pensión 1 - Proporción</t>
  </si>
  <si>
    <t>Impuesto - pensión 1</t>
  </si>
  <si>
    <t>Impuesto - pensión 2</t>
  </si>
  <si>
    <t>Pensión 2 - Proporción</t>
  </si>
  <si>
    <t>Impuesto total</t>
  </si>
  <si>
    <t>IMPUESTO AL SUELDO</t>
  </si>
  <si>
    <t>IMPUESTO ANUAL A INGRESOS</t>
  </si>
  <si>
    <t>Tasa impositiva (total ingresos)</t>
  </si>
  <si>
    <t>PENSION IMPUESTO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</si>
</sst>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Red]\(#,##0\)"/>
    <numFmt numFmtId="166" formatCode="#,##0.00;[Red]\(#,##0.00\)"/>
    <numFmt numFmtId="167" formatCode="#,##0.00000;[Red]\(#,##0.00000\)"/>
    <numFmt numFmtId="168" formatCode="0.0%"/>
  </numFmts>
  <fonts count="15" x14ac:knownFonts="1">
    <font>
      <sz val="11"/>
      <color theme="1"/>
      <name val="Calibri"/>
      <family val="2"/>
      <scheme val="minor"/>
    </font>
    <font>
      <sz val="11"/>
      <color theme="1"/>
      <name val="Calibri"/>
      <family val="2"/>
      <scheme val="minor"/>
    </font>
    <font>
      <sz val="11"/>
      <color theme="0"/>
      <name val="Calibri"/>
      <family val="2"/>
      <scheme val="minor"/>
    </font>
    <font>
      <b/>
      <sz val="11"/>
      <color theme="1"/>
      <name val="Open Sans"/>
      <family val="2"/>
    </font>
    <font>
      <sz val="11"/>
      <color theme="1"/>
      <name val="Open Sans"/>
      <family val="2"/>
    </font>
    <font>
      <b/>
      <sz val="9"/>
      <color rgb="FF0070C0"/>
      <name val="Open Sans"/>
      <family val="2"/>
    </font>
    <font>
      <b/>
      <sz val="14"/>
      <color theme="1"/>
      <name val="Open Sans"/>
      <family val="2"/>
    </font>
    <font>
      <b/>
      <sz val="16"/>
      <color theme="1"/>
      <name val="Open Sans"/>
      <family val="2"/>
    </font>
    <font>
      <b/>
      <sz val="11"/>
      <color theme="0"/>
      <name val="Open Sans"/>
      <family val="2"/>
    </font>
    <font>
      <i/>
      <sz val="10"/>
      <color theme="1"/>
      <name val="Open Sans"/>
      <family val="2"/>
    </font>
    <font>
      <sz val="9"/>
      <color theme="1"/>
      <name val="Open Sans"/>
      <family val="2"/>
    </font>
    <font>
      <sz val="9"/>
      <color indexed="81"/>
      <name val="Tahoma"/>
      <charset val="1"/>
    </font>
    <font>
      <b/>
      <sz val="9"/>
      <color indexed="81"/>
      <name val="Tahoma"/>
      <charset val="1"/>
    </font>
    <font>
      <sz val="9"/>
      <color indexed="81"/>
      <name val="Tahoma"/>
      <family val="2"/>
    </font>
    <font>
      <b/>
      <sz val="9"/>
      <color indexed="81"/>
      <name val="Tahoma"/>
      <family val="2"/>
    </font>
  </fonts>
  <fills count="8">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4">
    <xf numFmtId="0" fontId="0" fillId="0" borderId="0" xfId="0"/>
    <xf numFmtId="0" fontId="3" fillId="0" borderId="0" xfId="0" applyFont="1" applyAlignment="1">
      <alignment horizontal="center"/>
    </xf>
    <xf numFmtId="0" fontId="4" fillId="0" borderId="0" xfId="0" applyFont="1"/>
    <xf numFmtId="0" fontId="3" fillId="0" borderId="0" xfId="0" applyFont="1"/>
    <xf numFmtId="0" fontId="3" fillId="2" borderId="0" xfId="0" applyFont="1" applyFill="1"/>
    <xf numFmtId="43" fontId="4" fillId="0" borderId="0" xfId="1" applyFont="1"/>
    <xf numFmtId="164" fontId="4" fillId="0" borderId="0" xfId="1" applyNumberFormat="1" applyFont="1"/>
    <xf numFmtId="43" fontId="4" fillId="0" borderId="0" xfId="1" applyNumberFormat="1" applyFont="1"/>
    <xf numFmtId="165" fontId="4" fillId="0" borderId="0" xfId="1" applyNumberFormat="1" applyFont="1"/>
    <xf numFmtId="9" fontId="4" fillId="0" borderId="0" xfId="1" applyNumberFormat="1" applyFont="1"/>
    <xf numFmtId="10" fontId="4" fillId="0" borderId="0" xfId="2" applyNumberFormat="1" applyFont="1"/>
    <xf numFmtId="164" fontId="4" fillId="0" borderId="0" xfId="0" applyNumberFormat="1" applyFont="1"/>
    <xf numFmtId="0" fontId="2" fillId="3" borderId="0" xfId="0" applyFont="1" applyFill="1"/>
    <xf numFmtId="0" fontId="2" fillId="3" borderId="0" xfId="0" applyFont="1" applyFill="1" applyAlignment="1">
      <alignment horizontal="center"/>
    </xf>
    <xf numFmtId="10" fontId="0" fillId="0" borderId="0" xfId="0" applyNumberFormat="1"/>
    <xf numFmtId="4" fontId="0" fillId="0" borderId="0" xfId="0" applyNumberFormat="1"/>
    <xf numFmtId="43" fontId="0" fillId="0" borderId="0" xfId="1" applyFont="1"/>
    <xf numFmtId="165" fontId="4" fillId="0" borderId="0" xfId="0" applyNumberFormat="1" applyFont="1"/>
    <xf numFmtId="165" fontId="3" fillId="0" borderId="0" xfId="0" applyNumberFormat="1" applyFont="1" applyAlignment="1">
      <alignment horizontal="center"/>
    </xf>
    <xf numFmtId="165" fontId="4" fillId="0" borderId="0" xfId="2" applyNumberFormat="1" applyFont="1"/>
    <xf numFmtId="165" fontId="3" fillId="0" borderId="0" xfId="1" applyNumberFormat="1" applyFont="1"/>
    <xf numFmtId="166" fontId="4" fillId="0" borderId="0" xfId="1" applyNumberFormat="1" applyFont="1"/>
    <xf numFmtId="9" fontId="4" fillId="0" borderId="0" xfId="0" applyNumberFormat="1" applyFont="1"/>
    <xf numFmtId="164" fontId="3" fillId="0" borderId="0" xfId="0" applyNumberFormat="1" applyFont="1" applyAlignment="1">
      <alignment horizontal="center"/>
    </xf>
    <xf numFmtId="43" fontId="4" fillId="0" borderId="0" xfId="1" applyFont="1" applyAlignment="1"/>
    <xf numFmtId="0" fontId="6" fillId="0" borderId="0" xfId="0" applyFont="1"/>
    <xf numFmtId="0" fontId="7" fillId="0" borderId="0" xfId="0" applyFont="1"/>
    <xf numFmtId="165" fontId="8" fillId="4" borderId="0" xfId="0" applyNumberFormat="1" applyFont="1" applyFill="1" applyAlignment="1">
      <alignment horizontal="center"/>
    </xf>
    <xf numFmtId="0" fontId="4" fillId="5" borderId="0" xfId="0" applyFont="1" applyFill="1"/>
    <xf numFmtId="165" fontId="4" fillId="5" borderId="0" xfId="1" applyNumberFormat="1" applyFont="1" applyFill="1"/>
    <xf numFmtId="165" fontId="3" fillId="5" borderId="0" xfId="0" applyNumberFormat="1" applyFont="1" applyFill="1" applyAlignment="1">
      <alignment horizontal="center"/>
    </xf>
    <xf numFmtId="0" fontId="3" fillId="5" borderId="0" xfId="0" applyFont="1" applyFill="1"/>
    <xf numFmtId="165" fontId="4" fillId="0" borderId="0" xfId="0" applyNumberFormat="1" applyFont="1" applyFill="1"/>
    <xf numFmtId="165" fontId="8" fillId="4" borderId="0" xfId="0" applyNumberFormat="1" applyFont="1" applyFill="1"/>
    <xf numFmtId="0" fontId="2" fillId="4" borderId="0" xfId="0" applyFont="1" applyFill="1"/>
    <xf numFmtId="164" fontId="8" fillId="4" borderId="0" xfId="0" applyNumberFormat="1" applyFont="1" applyFill="1"/>
    <xf numFmtId="10" fontId="5" fillId="0" borderId="0" xfId="2" applyNumberFormat="1" applyFont="1" applyAlignment="1"/>
    <xf numFmtId="167" fontId="4" fillId="0" borderId="0" xfId="1" applyNumberFormat="1" applyFont="1"/>
    <xf numFmtId="0" fontId="9" fillId="5" borderId="0" xfId="0" applyFont="1" applyFill="1"/>
    <xf numFmtId="165" fontId="4" fillId="6" borderId="0" xfId="1" applyNumberFormat="1" applyFont="1" applyFill="1"/>
    <xf numFmtId="0" fontId="4" fillId="7" borderId="0" xfId="0" applyFont="1" applyFill="1"/>
    <xf numFmtId="0" fontId="9" fillId="7" borderId="0" xfId="0" applyFont="1" applyFill="1"/>
    <xf numFmtId="164" fontId="9" fillId="7" borderId="0" xfId="1" applyNumberFormat="1" applyFont="1" applyFill="1"/>
    <xf numFmtId="10" fontId="9" fillId="7" borderId="0" xfId="2" applyNumberFormat="1" applyFont="1" applyFill="1"/>
    <xf numFmtId="165" fontId="9" fillId="7" borderId="0" xfId="1" applyNumberFormat="1" applyFont="1" applyFill="1"/>
    <xf numFmtId="165" fontId="4" fillId="7" borderId="0" xfId="1" applyNumberFormat="1" applyFont="1" applyFill="1"/>
    <xf numFmtId="168" fontId="10" fillId="7" borderId="0" xfId="2" applyNumberFormat="1" applyFont="1" applyFill="1"/>
    <xf numFmtId="43" fontId="3" fillId="2" borderId="0" xfId="1" applyFont="1" applyFill="1"/>
    <xf numFmtId="10" fontId="5" fillId="2" borderId="0" xfId="2" applyNumberFormat="1" applyFont="1" applyFill="1" applyAlignment="1"/>
    <xf numFmtId="10" fontId="4" fillId="2" borderId="0" xfId="2" applyNumberFormat="1" applyFont="1" applyFill="1"/>
    <xf numFmtId="43" fontId="4" fillId="2" borderId="0" xfId="1" applyFont="1" applyFill="1"/>
    <xf numFmtId="165" fontId="4" fillId="0" borderId="0" xfId="1" applyNumberFormat="1" applyFont="1" applyFill="1"/>
    <xf numFmtId="10" fontId="4" fillId="0" borderId="0" xfId="2" applyNumberFormat="1" applyFont="1" applyFill="1"/>
    <xf numFmtId="165" fontId="3" fillId="0" borderId="0" xfId="1" applyNumberFormat="1" applyFont="1" applyFill="1"/>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9F221-D30F-4AC2-93E5-2602685F6565}">
  <dimension ref="A1:S78"/>
  <sheetViews>
    <sheetView showGridLines="0" workbookViewId="0">
      <pane xSplit="3" ySplit="5" topLeftCell="D6" activePane="bottomRight" state="frozen"/>
      <selection activeCell="D74" sqref="D74"/>
      <selection pane="topRight" activeCell="D74" sqref="D74"/>
      <selection pane="bottomLeft" activeCell="D74" sqref="D74"/>
      <selection pane="bottomRight" activeCell="D53" sqref="D53"/>
    </sheetView>
  </sheetViews>
  <sheetFormatPr baseColWidth="10" defaultRowHeight="16.5" outlineLevelRow="1" x14ac:dyDescent="0.45"/>
  <cols>
    <col min="1" max="1" width="2.453125" style="2" customWidth="1"/>
    <col min="2" max="2" width="30.36328125" style="2" customWidth="1"/>
    <col min="3" max="3" width="1.6328125" style="2" customWidth="1"/>
    <col min="4" max="4" width="19.1796875" style="17" customWidth="1"/>
    <col min="5" max="5" width="1.6328125" style="17" customWidth="1"/>
    <col min="6" max="6" width="15.6328125" style="17" customWidth="1"/>
    <col min="7" max="7" width="10.90625" style="17" customWidth="1"/>
    <col min="8" max="8" width="1.6328125" style="17" customWidth="1"/>
    <col min="9" max="10" width="15.6328125" style="11" customWidth="1"/>
    <col min="11" max="11" width="1.6328125" style="11" customWidth="1"/>
    <col min="12" max="12" width="15.6328125" style="11" customWidth="1"/>
    <col min="13" max="17" width="15.6328125" style="2" customWidth="1"/>
    <col min="18" max="18" width="10.90625" style="2" customWidth="1"/>
    <col min="19" max="19" width="14.1796875" style="2" customWidth="1"/>
    <col min="20" max="21" width="10.90625" style="2" customWidth="1"/>
    <col min="22" max="16384" width="10.90625" style="2"/>
  </cols>
  <sheetData>
    <row r="1" spans="1:19" ht="23" x14ac:dyDescent="0.6">
      <c r="A1" s="26" t="s">
        <v>48</v>
      </c>
    </row>
    <row r="2" spans="1:19" ht="20.5" x14ac:dyDescent="0.55000000000000004">
      <c r="A2" s="25" t="s">
        <v>49</v>
      </c>
    </row>
    <row r="3" spans="1:19" ht="20.5" x14ac:dyDescent="0.55000000000000004">
      <c r="A3" s="25"/>
    </row>
    <row r="4" spans="1:19" x14ac:dyDescent="0.45">
      <c r="D4" s="27" t="s">
        <v>50</v>
      </c>
      <c r="F4" s="33" t="s">
        <v>51</v>
      </c>
      <c r="G4" s="33"/>
      <c r="I4" s="35" t="s">
        <v>56</v>
      </c>
      <c r="J4" s="35"/>
    </row>
    <row r="5" spans="1:19" x14ac:dyDescent="0.45">
      <c r="D5" s="27" t="s">
        <v>41</v>
      </c>
      <c r="E5" s="18"/>
      <c r="F5" s="27" t="s">
        <v>42</v>
      </c>
      <c r="G5" s="27" t="s">
        <v>47</v>
      </c>
      <c r="I5" s="27" t="s">
        <v>45</v>
      </c>
      <c r="J5" s="27" t="s">
        <v>46</v>
      </c>
    </row>
    <row r="6" spans="1:19" x14ac:dyDescent="0.45">
      <c r="A6" s="28"/>
      <c r="B6" s="28"/>
      <c r="C6" s="28"/>
      <c r="D6" s="28"/>
      <c r="E6" s="28"/>
      <c r="F6" s="30"/>
      <c r="G6" s="30"/>
      <c r="H6" s="28"/>
      <c r="I6" s="28"/>
      <c r="J6" s="28"/>
      <c r="K6" s="23"/>
      <c r="L6" s="23"/>
      <c r="M6" s="1"/>
      <c r="N6" s="1"/>
      <c r="O6" s="1"/>
      <c r="P6" s="1"/>
      <c r="Q6" s="1"/>
    </row>
    <row r="7" spans="1:19" x14ac:dyDescent="0.45">
      <c r="A7" s="4" t="s">
        <v>14</v>
      </c>
      <c r="B7" s="4"/>
      <c r="C7" s="31"/>
      <c r="D7" s="28"/>
      <c r="E7" s="28"/>
      <c r="F7" s="30"/>
      <c r="G7" s="30"/>
      <c r="H7" s="28"/>
      <c r="I7" s="28"/>
      <c r="J7" s="28"/>
      <c r="K7" s="23"/>
      <c r="L7" s="23"/>
      <c r="M7" s="1"/>
      <c r="N7" s="1"/>
      <c r="O7" s="1"/>
      <c r="P7" s="1"/>
      <c r="Q7" s="1"/>
    </row>
    <row r="8" spans="1:19" x14ac:dyDescent="0.45">
      <c r="B8" s="2" t="s">
        <v>7</v>
      </c>
      <c r="C8" s="28"/>
      <c r="D8" s="17">
        <v>60</v>
      </c>
      <c r="E8" s="28"/>
      <c r="F8" s="32"/>
      <c r="G8" s="32"/>
      <c r="H8" s="28"/>
      <c r="Q8" s="6"/>
    </row>
    <row r="9" spans="1:19" x14ac:dyDescent="0.45">
      <c r="B9" s="2" t="s">
        <v>8</v>
      </c>
      <c r="C9" s="28"/>
      <c r="D9" s="17">
        <v>25</v>
      </c>
      <c r="E9" s="28"/>
      <c r="F9" s="32"/>
      <c r="G9" s="32"/>
      <c r="H9" s="28"/>
      <c r="L9" s="10"/>
      <c r="M9" s="9"/>
      <c r="Q9" s="6"/>
    </row>
    <row r="10" spans="1:19" x14ac:dyDescent="0.45">
      <c r="B10" s="2" t="s">
        <v>9</v>
      </c>
      <c r="C10" s="28"/>
      <c r="D10" s="21">
        <v>150000</v>
      </c>
      <c r="E10" s="28"/>
      <c r="F10" s="5">
        <f>J10*TIMP+I10*TIMP*DEDUC</f>
        <v>45000</v>
      </c>
      <c r="G10" s="36">
        <f t="shared" ref="G10:G15" si="0">F10/D10</f>
        <v>0.3</v>
      </c>
      <c r="H10" s="28"/>
      <c r="I10" s="6">
        <v>0</v>
      </c>
      <c r="J10" s="6">
        <f>D10-I10</f>
        <v>150000</v>
      </c>
      <c r="K10" s="6"/>
      <c r="L10" s="24"/>
      <c r="M10" s="24"/>
      <c r="N10" s="7"/>
      <c r="O10" s="7"/>
      <c r="P10" s="7"/>
      <c r="Q10" s="7"/>
      <c r="S10" s="7"/>
    </row>
    <row r="11" spans="1:19" x14ac:dyDescent="0.45">
      <c r="B11" s="2" t="s">
        <v>10</v>
      </c>
      <c r="C11" s="28"/>
      <c r="D11" s="21">
        <f>(D10/365)*30.4</f>
        <v>12493.150684931505</v>
      </c>
      <c r="E11" s="28"/>
      <c r="F11" s="5">
        <f>J11*TIMP+I11*TIMP*DEDUC</f>
        <v>3544.4399054794517</v>
      </c>
      <c r="G11" s="36">
        <f t="shared" si="0"/>
        <v>0.28371065032894738</v>
      </c>
      <c r="H11" s="28"/>
      <c r="I11" s="6">
        <f>MIN(15*UMA,D11)</f>
        <v>1443.3</v>
      </c>
      <c r="J11" s="6">
        <f>D11-I11</f>
        <v>11049.850684931505</v>
      </c>
      <c r="K11" s="6"/>
      <c r="L11" s="24"/>
      <c r="M11" s="24"/>
      <c r="N11" s="7"/>
      <c r="O11" s="7"/>
      <c r="P11" s="7"/>
      <c r="Q11" s="7"/>
      <c r="S11" s="7"/>
    </row>
    <row r="12" spans="1:19" x14ac:dyDescent="0.45">
      <c r="B12" s="2" t="s">
        <v>11</v>
      </c>
      <c r="C12" s="28"/>
      <c r="D12" s="21">
        <f>(((VLOOKUP(D9,Tb_Vac,3,TRUE)*(D10/30))*50%)/365)*30.4</f>
        <v>4580.821917808219</v>
      </c>
      <c r="E12" s="28"/>
      <c r="F12" s="5">
        <f>J12*TIMP+I12*TIMP*DEDUC</f>
        <v>1170.7412753424655</v>
      </c>
      <c r="G12" s="36">
        <f t="shared" si="0"/>
        <v>0.25557450089712913</v>
      </c>
      <c r="H12" s="28"/>
      <c r="I12" s="6">
        <f>MIN(15*UMA,D12)</f>
        <v>1443.3</v>
      </c>
      <c r="J12" s="6">
        <f>D12-I12</f>
        <v>3137.5219178082189</v>
      </c>
      <c r="K12" s="6"/>
      <c r="L12" s="24"/>
      <c r="M12" s="24"/>
      <c r="N12" s="7"/>
      <c r="O12" s="7"/>
      <c r="P12" s="7"/>
      <c r="Q12" s="7"/>
      <c r="S12" s="7"/>
    </row>
    <row r="13" spans="1:19" x14ac:dyDescent="0.45">
      <c r="B13" s="2" t="s">
        <v>12</v>
      </c>
      <c r="C13" s="28"/>
      <c r="D13" s="21">
        <f>MIN(13%*D10,13%*UMA*30.4*10)</f>
        <v>3802.6143999999999</v>
      </c>
      <c r="E13" s="28"/>
      <c r="F13" s="5">
        <f>J13*TIMP+I13*TIMP*DEDUC</f>
        <v>604.6156896</v>
      </c>
      <c r="G13" s="36">
        <f t="shared" si="0"/>
        <v>0.159</v>
      </c>
      <c r="H13" s="28"/>
      <c r="I13" s="6">
        <f>MIN(13%*10*UMA*30.4,D13)</f>
        <v>3802.6143999999999</v>
      </c>
      <c r="J13" s="6">
        <f>D13-I13</f>
        <v>0</v>
      </c>
      <c r="K13" s="6"/>
      <c r="L13" s="24"/>
      <c r="M13" s="24"/>
      <c r="N13" s="7"/>
      <c r="O13" s="7"/>
      <c r="P13" s="7"/>
      <c r="Q13" s="7"/>
      <c r="S13" s="7"/>
    </row>
    <row r="14" spans="1:19" x14ac:dyDescent="0.45">
      <c r="B14" s="2" t="s">
        <v>13</v>
      </c>
      <c r="C14" s="28"/>
      <c r="D14" s="21">
        <f>MIN(8%*D10,UMA*30.4)</f>
        <v>2925.0879999999997</v>
      </c>
      <c r="E14" s="28"/>
      <c r="F14" s="5">
        <f>J14*TIMP+I14*TIMP*DEDUC</f>
        <v>465.08899199999996</v>
      </c>
      <c r="G14" s="36">
        <f t="shared" si="0"/>
        <v>0.159</v>
      </c>
      <c r="H14" s="28"/>
      <c r="I14" s="6">
        <f>MIN(UMA*30.4,D14)</f>
        <v>2925.0879999999997</v>
      </c>
      <c r="J14" s="6">
        <f>D14-I14</f>
        <v>0</v>
      </c>
      <c r="K14" s="6"/>
      <c r="L14" s="24"/>
      <c r="M14" s="24"/>
      <c r="N14" s="7"/>
      <c r="O14" s="7"/>
      <c r="P14" s="7"/>
      <c r="Q14" s="7"/>
      <c r="S14" s="7"/>
    </row>
    <row r="15" spans="1:19" x14ac:dyDescent="0.45">
      <c r="B15" s="2" t="s">
        <v>3</v>
      </c>
      <c r="C15" s="28"/>
      <c r="D15" s="21">
        <f>SUM(D10:D14)</f>
        <v>173801.67500273968</v>
      </c>
      <c r="E15" s="28"/>
      <c r="F15" s="47">
        <f>SUM(F10:F14)</f>
        <v>50784.885862421914</v>
      </c>
      <c r="G15" s="48">
        <f t="shared" si="0"/>
        <v>0.2922002095872861</v>
      </c>
      <c r="H15" s="28"/>
      <c r="I15" s="6">
        <f>SUM(I10:I14)</f>
        <v>9614.3024000000005</v>
      </c>
      <c r="J15" s="6">
        <f>SUM(J10:J14)</f>
        <v>164187.37260273972</v>
      </c>
      <c r="K15" s="6"/>
      <c r="L15" s="6"/>
      <c r="M15" s="7"/>
      <c r="N15" s="7"/>
      <c r="O15" s="7"/>
      <c r="P15" s="7"/>
      <c r="Q15" s="7"/>
      <c r="S15" s="6"/>
    </row>
    <row r="16" spans="1:19" x14ac:dyDescent="0.45">
      <c r="A16" s="28"/>
      <c r="B16" s="28"/>
      <c r="C16" s="28"/>
      <c r="D16" s="29"/>
      <c r="E16" s="28"/>
      <c r="F16" s="29"/>
      <c r="G16" s="29"/>
      <c r="H16" s="28"/>
      <c r="I16" s="29"/>
      <c r="J16" s="29"/>
      <c r="K16" s="6"/>
      <c r="L16" s="6"/>
      <c r="M16" s="7"/>
      <c r="N16" s="7"/>
      <c r="O16" s="7"/>
      <c r="P16" s="7"/>
      <c r="Q16" s="7"/>
      <c r="S16" s="6"/>
    </row>
    <row r="17" spans="1:19" x14ac:dyDescent="0.45">
      <c r="A17" s="4" t="s">
        <v>90</v>
      </c>
      <c r="B17" s="4"/>
      <c r="C17" s="31"/>
      <c r="D17" s="8"/>
      <c r="E17" s="31"/>
      <c r="F17" s="8"/>
      <c r="G17" s="8"/>
      <c r="H17" s="31"/>
      <c r="I17" s="6"/>
      <c r="J17" s="6"/>
      <c r="K17" s="6"/>
      <c r="L17" s="6"/>
      <c r="M17" s="7"/>
      <c r="N17" s="7"/>
      <c r="O17" s="7"/>
      <c r="P17" s="7"/>
      <c r="Q17" s="7"/>
      <c r="S17" s="6"/>
    </row>
    <row r="18" spans="1:19" outlineLevel="1" x14ac:dyDescent="0.45">
      <c r="B18" s="2" t="s">
        <v>9</v>
      </c>
      <c r="C18" s="28"/>
      <c r="D18" s="8">
        <f>D10</f>
        <v>150000</v>
      </c>
      <c r="E18" s="28"/>
      <c r="F18" s="8"/>
      <c r="G18" s="8"/>
      <c r="H18" s="28"/>
      <c r="I18" s="6"/>
      <c r="J18" s="6"/>
      <c r="K18" s="6"/>
      <c r="L18" s="6"/>
      <c r="M18" s="7"/>
      <c r="N18" s="7"/>
      <c r="O18" s="7"/>
      <c r="P18" s="7"/>
      <c r="Q18" s="7"/>
      <c r="S18" s="6"/>
    </row>
    <row r="19" spans="1:19" outlineLevel="1" x14ac:dyDescent="0.45">
      <c r="B19" s="2" t="s">
        <v>20</v>
      </c>
      <c r="C19" s="28"/>
      <c r="D19" s="8">
        <f>VLOOKUP(D18,Tb_Imp,1,TRUE)</f>
        <v>108281.68</v>
      </c>
      <c r="E19" s="28"/>
      <c r="F19" s="8"/>
      <c r="G19" s="8"/>
      <c r="H19" s="28"/>
      <c r="I19" s="6"/>
      <c r="J19" s="6"/>
      <c r="K19" s="6"/>
      <c r="L19" s="6"/>
      <c r="M19" s="7"/>
      <c r="N19" s="7"/>
      <c r="O19" s="7"/>
      <c r="P19" s="7"/>
      <c r="Q19" s="7"/>
      <c r="S19" s="6"/>
    </row>
    <row r="20" spans="1:19" outlineLevel="1" x14ac:dyDescent="0.45">
      <c r="B20" s="2" t="s">
        <v>21</v>
      </c>
      <c r="C20" s="28"/>
      <c r="D20" s="10">
        <f>VLOOKUP(D18,Tb_Imp,4,TRUE)</f>
        <v>0.34</v>
      </c>
      <c r="E20" s="28"/>
      <c r="F20" s="8"/>
      <c r="G20" s="8"/>
      <c r="H20" s="28"/>
      <c r="I20" s="6"/>
      <c r="J20" s="6"/>
      <c r="K20" s="6"/>
      <c r="L20" s="6"/>
      <c r="M20" s="7"/>
      <c r="N20" s="7"/>
      <c r="O20" s="7"/>
      <c r="P20" s="7"/>
      <c r="Q20" s="7"/>
      <c r="S20" s="6"/>
    </row>
    <row r="21" spans="1:19" outlineLevel="1" x14ac:dyDescent="0.45">
      <c r="B21" s="2" t="s">
        <v>22</v>
      </c>
      <c r="C21" s="28"/>
      <c r="D21" s="8">
        <f>(D18-D19)*D20</f>
        <v>14184.228800000003</v>
      </c>
      <c r="E21" s="28"/>
      <c r="F21" s="8"/>
      <c r="G21" s="8"/>
      <c r="H21" s="28"/>
      <c r="I21" s="6"/>
      <c r="J21" s="6"/>
      <c r="K21" s="6"/>
      <c r="L21" s="6"/>
      <c r="M21" s="7"/>
      <c r="N21" s="7"/>
      <c r="O21" s="7"/>
      <c r="P21" s="7"/>
      <c r="Q21" s="7"/>
      <c r="S21" s="6"/>
    </row>
    <row r="22" spans="1:19" outlineLevel="1" x14ac:dyDescent="0.45">
      <c r="B22" s="2" t="s">
        <v>23</v>
      </c>
      <c r="C22" s="28"/>
      <c r="D22" s="8">
        <f>VLOOKUP(D18,Tb_Imp,3,TRUE)</f>
        <v>28245.360000000001</v>
      </c>
      <c r="E22" s="28"/>
      <c r="F22" s="8"/>
      <c r="G22" s="8"/>
      <c r="H22" s="28"/>
      <c r="I22" s="6"/>
      <c r="J22" s="6"/>
      <c r="K22" s="6"/>
      <c r="L22" s="6"/>
      <c r="M22" s="7"/>
      <c r="N22" s="7"/>
      <c r="O22" s="7"/>
      <c r="P22" s="7"/>
      <c r="Q22" s="7"/>
      <c r="S22" s="6"/>
    </row>
    <row r="23" spans="1:19" outlineLevel="1" x14ac:dyDescent="0.45">
      <c r="B23" s="2" t="s">
        <v>16</v>
      </c>
      <c r="C23" s="28"/>
      <c r="D23" s="8">
        <f>D21+D22</f>
        <v>42429.588800000005</v>
      </c>
      <c r="E23" s="28"/>
      <c r="F23" s="8"/>
      <c r="G23" s="8"/>
      <c r="H23" s="28"/>
      <c r="I23" s="6"/>
      <c r="J23" s="6"/>
      <c r="K23" s="6"/>
      <c r="L23" s="6"/>
      <c r="M23" s="7"/>
      <c r="N23" s="7"/>
      <c r="O23" s="7"/>
      <c r="P23" s="7"/>
      <c r="Q23" s="7"/>
      <c r="S23" s="6"/>
    </row>
    <row r="24" spans="1:19" x14ac:dyDescent="0.45">
      <c r="B24" s="2" t="s">
        <v>15</v>
      </c>
      <c r="C24" s="28"/>
      <c r="D24" s="49">
        <f>ROUND(D23/D18,4)</f>
        <v>0.28289999999999998</v>
      </c>
      <c r="E24" s="28"/>
      <c r="F24" s="8"/>
      <c r="G24" s="8"/>
      <c r="H24" s="28"/>
      <c r="I24" s="6"/>
      <c r="J24" s="6"/>
      <c r="K24" s="6"/>
      <c r="L24" s="6"/>
      <c r="M24" s="7"/>
      <c r="N24" s="7"/>
      <c r="O24" s="7"/>
      <c r="P24" s="7"/>
      <c r="Q24" s="7"/>
      <c r="S24" s="6"/>
    </row>
    <row r="25" spans="1:19" ht="8" customHeight="1" x14ac:dyDescent="0.45">
      <c r="C25" s="28"/>
      <c r="D25" s="19"/>
      <c r="E25" s="28"/>
      <c r="F25" s="8"/>
      <c r="G25" s="8"/>
      <c r="H25" s="28"/>
      <c r="I25" s="6"/>
      <c r="J25" s="6"/>
      <c r="K25" s="6"/>
      <c r="L25" s="6"/>
      <c r="M25" s="7"/>
      <c r="N25" s="7"/>
      <c r="O25" s="7"/>
      <c r="P25" s="7"/>
      <c r="Q25" s="7"/>
      <c r="S25" s="6"/>
    </row>
    <row r="26" spans="1:19" x14ac:dyDescent="0.45">
      <c r="A26" s="4" t="s">
        <v>91</v>
      </c>
      <c r="B26" s="4"/>
      <c r="C26" s="31"/>
      <c r="D26" s="19"/>
      <c r="E26" s="31"/>
      <c r="F26" s="8"/>
      <c r="G26" s="8"/>
      <c r="H26" s="31"/>
      <c r="I26" s="6"/>
      <c r="J26" s="6"/>
      <c r="K26" s="6"/>
      <c r="L26" s="6"/>
      <c r="M26" s="7"/>
      <c r="N26" s="7"/>
      <c r="O26" s="7"/>
      <c r="P26" s="7"/>
      <c r="Q26" s="7"/>
      <c r="S26" s="6"/>
    </row>
    <row r="27" spans="1:19" outlineLevel="1" x14ac:dyDescent="0.45">
      <c r="B27" s="2" t="s">
        <v>35</v>
      </c>
      <c r="C27" s="28"/>
      <c r="D27" s="8">
        <f>J10*12+(J11+J12+J13+J14)*365</f>
        <v>6978390.9999999991</v>
      </c>
      <c r="E27" s="28"/>
      <c r="F27" s="8"/>
      <c r="G27" s="8"/>
      <c r="H27" s="28"/>
      <c r="I27" s="6"/>
      <c r="J27" s="6"/>
      <c r="K27" s="6"/>
      <c r="L27" s="6"/>
      <c r="M27" s="7"/>
      <c r="N27" s="7"/>
      <c r="O27" s="7"/>
      <c r="P27" s="7"/>
      <c r="Q27" s="7"/>
      <c r="S27" s="6"/>
    </row>
    <row r="28" spans="1:19" outlineLevel="1" x14ac:dyDescent="0.45">
      <c r="B28" s="2" t="s">
        <v>9</v>
      </c>
      <c r="C28" s="28"/>
      <c r="D28" s="8">
        <f>D10</f>
        <v>150000</v>
      </c>
      <c r="E28" s="28"/>
      <c r="F28" s="8"/>
      <c r="G28" s="8"/>
      <c r="H28" s="28"/>
      <c r="I28" s="6"/>
      <c r="J28" s="6"/>
      <c r="K28" s="6"/>
      <c r="L28" s="6"/>
      <c r="M28" s="7"/>
      <c r="N28" s="7"/>
      <c r="O28" s="7"/>
      <c r="P28" s="7"/>
      <c r="Q28" s="7"/>
      <c r="S28" s="6"/>
    </row>
    <row r="29" spans="1:19" outlineLevel="1" x14ac:dyDescent="0.45">
      <c r="B29" s="2" t="s">
        <v>36</v>
      </c>
      <c r="C29" s="28"/>
      <c r="D29" s="8">
        <f>SUM(D27:D28)</f>
        <v>7128390.9999999991</v>
      </c>
      <c r="E29" s="28"/>
      <c r="F29" s="8"/>
      <c r="G29" s="8"/>
      <c r="H29" s="28"/>
      <c r="I29" s="6"/>
      <c r="J29" s="6"/>
      <c r="K29" s="6"/>
      <c r="L29" s="6"/>
      <c r="M29" s="7"/>
      <c r="N29" s="7"/>
      <c r="O29" s="7"/>
      <c r="P29" s="7"/>
      <c r="Q29" s="7"/>
      <c r="S29" s="6"/>
    </row>
    <row r="30" spans="1:19" outlineLevel="1" x14ac:dyDescent="0.45">
      <c r="B30" s="2" t="s">
        <v>20</v>
      </c>
      <c r="C30" s="28"/>
      <c r="D30" s="8">
        <f>VLOOKUP(D29,Tb_ImpAnual,1,TRUE)</f>
        <v>3898140.13</v>
      </c>
      <c r="E30" s="28"/>
      <c r="F30" s="8"/>
      <c r="G30" s="8"/>
      <c r="H30" s="28"/>
      <c r="I30" s="6"/>
      <c r="J30" s="6"/>
      <c r="K30" s="6"/>
      <c r="L30" s="6"/>
      <c r="M30" s="7"/>
      <c r="N30" s="7"/>
      <c r="O30" s="7"/>
      <c r="P30" s="7"/>
      <c r="Q30" s="7"/>
      <c r="S30" s="6"/>
    </row>
    <row r="31" spans="1:19" outlineLevel="1" x14ac:dyDescent="0.45">
      <c r="B31" s="2" t="s">
        <v>21</v>
      </c>
      <c r="C31" s="28"/>
      <c r="D31" s="10">
        <f>VLOOKUP(D29,Tb_ImpAnual,4,TRUE)</f>
        <v>0.35</v>
      </c>
      <c r="E31" s="28"/>
      <c r="F31" s="8"/>
      <c r="G31" s="8"/>
      <c r="H31" s="28"/>
      <c r="I31" s="6"/>
      <c r="J31" s="6"/>
      <c r="K31" s="6"/>
      <c r="L31" s="6"/>
      <c r="M31" s="7"/>
      <c r="N31" s="7"/>
      <c r="O31" s="7"/>
      <c r="P31" s="7"/>
      <c r="Q31" s="7"/>
      <c r="S31" s="6"/>
    </row>
    <row r="32" spans="1:19" outlineLevel="1" x14ac:dyDescent="0.45">
      <c r="B32" s="2" t="s">
        <v>22</v>
      </c>
      <c r="C32" s="28"/>
      <c r="D32" s="8">
        <f>(D29-D30)*D31</f>
        <v>1130587.8044999996</v>
      </c>
      <c r="E32" s="28"/>
      <c r="F32" s="8"/>
      <c r="G32" s="8"/>
      <c r="H32" s="28"/>
      <c r="I32" s="6"/>
      <c r="J32" s="6"/>
      <c r="K32" s="6"/>
      <c r="L32" s="6"/>
      <c r="M32" s="7"/>
      <c r="N32" s="7"/>
      <c r="O32" s="7"/>
      <c r="P32" s="7"/>
      <c r="Q32" s="7"/>
      <c r="S32" s="6"/>
    </row>
    <row r="33" spans="1:19" outlineLevel="1" x14ac:dyDescent="0.45">
      <c r="B33" s="2" t="s">
        <v>23</v>
      </c>
      <c r="C33" s="28"/>
      <c r="D33" s="8">
        <f>VLOOKUP(D29,Tb_ImpAnual,3,TRUE)</f>
        <v>1222522.76</v>
      </c>
      <c r="E33" s="28"/>
      <c r="F33" s="8"/>
      <c r="G33" s="8"/>
      <c r="H33" s="28"/>
      <c r="I33" s="6"/>
      <c r="J33" s="6"/>
      <c r="K33" s="6"/>
      <c r="L33" s="6"/>
      <c r="M33" s="7"/>
      <c r="N33" s="7"/>
      <c r="O33" s="7"/>
      <c r="P33" s="7"/>
      <c r="Q33" s="7"/>
      <c r="S33" s="6"/>
    </row>
    <row r="34" spans="1:19" outlineLevel="1" x14ac:dyDescent="0.45">
      <c r="B34" s="2" t="s">
        <v>16</v>
      </c>
      <c r="C34" s="28"/>
      <c r="D34" s="8">
        <f>D32+D33</f>
        <v>2353110.5644999994</v>
      </c>
      <c r="E34" s="28"/>
      <c r="F34" s="8"/>
      <c r="G34" s="8"/>
      <c r="H34" s="28"/>
      <c r="I34" s="6"/>
      <c r="J34" s="6"/>
      <c r="K34" s="6"/>
      <c r="L34" s="6"/>
      <c r="M34" s="7"/>
      <c r="N34" s="7"/>
      <c r="O34" s="7"/>
      <c r="P34" s="7"/>
      <c r="Q34" s="7"/>
      <c r="S34" s="6"/>
    </row>
    <row r="35" spans="1:19" x14ac:dyDescent="0.45">
      <c r="B35" s="2" t="s">
        <v>15</v>
      </c>
      <c r="C35" s="28"/>
      <c r="D35" s="49">
        <f>ROUND(D34/D29,4)</f>
        <v>0.3301</v>
      </c>
      <c r="E35" s="28"/>
      <c r="F35" s="8"/>
      <c r="G35" s="8"/>
      <c r="H35" s="28"/>
      <c r="I35" s="6"/>
      <c r="J35" s="6"/>
      <c r="K35" s="6"/>
      <c r="L35" s="6"/>
      <c r="M35" s="7"/>
      <c r="N35" s="7"/>
      <c r="O35" s="7"/>
      <c r="P35" s="7"/>
      <c r="Q35" s="7"/>
      <c r="S35" s="6"/>
    </row>
    <row r="36" spans="1:19" x14ac:dyDescent="0.45">
      <c r="A36" s="28"/>
      <c r="B36" s="28"/>
      <c r="C36" s="28"/>
      <c r="D36" s="29"/>
      <c r="E36" s="28"/>
      <c r="F36" s="29"/>
      <c r="G36" s="29"/>
      <c r="H36" s="28"/>
      <c r="I36" s="29"/>
      <c r="J36" s="29"/>
      <c r="K36" s="29"/>
      <c r="L36" s="6"/>
      <c r="M36" s="7"/>
      <c r="N36" s="7"/>
      <c r="O36" s="7"/>
      <c r="P36" s="7"/>
      <c r="Q36" s="7"/>
      <c r="S36" s="6"/>
    </row>
    <row r="37" spans="1:19" x14ac:dyDescent="0.45">
      <c r="A37" s="4" t="s">
        <v>18</v>
      </c>
      <c r="B37" s="4"/>
      <c r="C37" s="31"/>
      <c r="D37" s="18"/>
      <c r="E37" s="31"/>
      <c r="F37" s="8"/>
      <c r="G37" s="8"/>
      <c r="H37" s="31"/>
      <c r="I37" s="6"/>
      <c r="J37" s="6"/>
      <c r="K37" s="6"/>
      <c r="L37" s="6"/>
      <c r="M37" s="7"/>
      <c r="N37" s="7"/>
      <c r="O37" s="7"/>
      <c r="P37" s="7"/>
      <c r="Q37" s="7"/>
    </row>
    <row r="38" spans="1:19" outlineLevel="1" x14ac:dyDescent="0.45">
      <c r="B38" s="2" t="s">
        <v>0</v>
      </c>
      <c r="C38" s="28"/>
      <c r="D38" s="8">
        <f>12*MIN(D15/30,SMG*2)*D9</f>
        <v>103722</v>
      </c>
      <c r="E38" s="28"/>
      <c r="F38" s="8"/>
      <c r="G38" s="8"/>
      <c r="H38" s="28"/>
      <c r="I38" s="6"/>
      <c r="J38" s="6"/>
      <c r="K38" s="6"/>
      <c r="L38" s="6"/>
      <c r="M38" s="7"/>
      <c r="N38" s="7"/>
      <c r="O38" s="7"/>
      <c r="P38" s="7"/>
      <c r="Q38" s="7"/>
    </row>
    <row r="39" spans="1:19" outlineLevel="1" x14ac:dyDescent="0.45">
      <c r="B39" s="2" t="s">
        <v>1</v>
      </c>
      <c r="C39" s="28"/>
      <c r="D39" s="8">
        <f>D15*(3+(20/30)*D9)</f>
        <v>3418099.6083872132</v>
      </c>
      <c r="E39" s="28"/>
      <c r="F39" s="8"/>
      <c r="G39" s="8"/>
      <c r="H39" s="28"/>
      <c r="I39" s="6"/>
      <c r="J39" s="6"/>
      <c r="K39" s="6"/>
      <c r="L39" s="6"/>
      <c r="M39" s="7"/>
      <c r="N39" s="7"/>
      <c r="O39" s="7"/>
      <c r="P39" s="7"/>
      <c r="Q39" s="7"/>
    </row>
    <row r="40" spans="1:19" outlineLevel="1" x14ac:dyDescent="0.45">
      <c r="B40" s="2" t="s">
        <v>2</v>
      </c>
      <c r="C40" s="28"/>
      <c r="D40" s="8">
        <v>0</v>
      </c>
      <c r="E40" s="28"/>
      <c r="F40" s="8"/>
      <c r="G40" s="8"/>
      <c r="H40" s="28"/>
      <c r="I40" s="6"/>
      <c r="J40" s="6"/>
      <c r="K40" s="6"/>
      <c r="L40" s="6"/>
      <c r="M40" s="7"/>
      <c r="N40" s="7"/>
      <c r="O40" s="7"/>
      <c r="P40" s="7"/>
      <c r="Q40" s="7"/>
    </row>
    <row r="41" spans="1:19" x14ac:dyDescent="0.45">
      <c r="B41" s="2" t="s">
        <v>3</v>
      </c>
      <c r="C41" s="28"/>
      <c r="D41" s="8">
        <f>SUM(D38:D40)</f>
        <v>3521821.6083872132</v>
      </c>
      <c r="E41" s="28"/>
      <c r="F41" s="6">
        <f>J41*TIMP+I41*TIMP*DEDUC</f>
        <v>1026020.6875161639</v>
      </c>
      <c r="G41" s="36">
        <f>F41/D41</f>
        <v>0.29133238465931866</v>
      </c>
      <c r="H41" s="28"/>
      <c r="I41" s="6">
        <f>90*UMA*D9</f>
        <v>216494.99999999997</v>
      </c>
      <c r="J41" s="6">
        <f>D41-I41</f>
        <v>3305326.6083872132</v>
      </c>
      <c r="K41" s="6"/>
      <c r="L41" s="6"/>
      <c r="M41" s="7"/>
      <c r="N41" s="7"/>
      <c r="O41" s="7"/>
      <c r="P41" s="7"/>
      <c r="Q41" s="7"/>
    </row>
    <row r="42" spans="1:19" x14ac:dyDescent="0.45">
      <c r="A42" s="28"/>
      <c r="B42" s="28"/>
      <c r="C42" s="28"/>
      <c r="D42" s="29"/>
      <c r="E42" s="28"/>
      <c r="F42" s="29"/>
      <c r="G42" s="29"/>
      <c r="H42" s="28"/>
      <c r="I42" s="29"/>
      <c r="J42" s="29"/>
      <c r="K42" s="6"/>
      <c r="L42" s="6"/>
      <c r="M42" s="7"/>
      <c r="N42" s="7"/>
      <c r="O42" s="7"/>
      <c r="P42" s="7"/>
      <c r="Q42" s="7"/>
    </row>
    <row r="43" spans="1:19" x14ac:dyDescent="0.45">
      <c r="A43" s="4" t="s">
        <v>17</v>
      </c>
      <c r="B43" s="4"/>
      <c r="C43" s="31"/>
      <c r="D43" s="8"/>
      <c r="E43" s="31"/>
      <c r="F43" s="8"/>
      <c r="G43" s="8"/>
      <c r="H43" s="31"/>
      <c r="I43" s="6"/>
      <c r="J43" s="6"/>
      <c r="K43" s="6"/>
      <c r="L43" s="6"/>
      <c r="M43" s="7"/>
      <c r="N43" s="7"/>
      <c r="O43" s="7"/>
      <c r="P43" s="7"/>
      <c r="Q43" s="7"/>
    </row>
    <row r="44" spans="1:19" outlineLevel="1" x14ac:dyDescent="0.45">
      <c r="B44" s="2" t="s">
        <v>38</v>
      </c>
      <c r="C44" s="28"/>
      <c r="D44" s="8">
        <f>D41</f>
        <v>3521821.6083872132</v>
      </c>
      <c r="E44" s="28"/>
      <c r="F44" s="8"/>
      <c r="G44" s="8"/>
      <c r="H44" s="28"/>
      <c r="I44" s="6"/>
      <c r="J44" s="6"/>
      <c r="K44" s="6"/>
      <c r="L44" s="6"/>
      <c r="M44" s="7"/>
      <c r="N44" s="7"/>
      <c r="O44" s="7"/>
      <c r="P44" s="7"/>
      <c r="Q44" s="7"/>
    </row>
    <row r="45" spans="1:19" outlineLevel="1" x14ac:dyDescent="0.45">
      <c r="B45" s="2" t="s">
        <v>24</v>
      </c>
      <c r="C45" s="28"/>
      <c r="D45" s="8">
        <f>90*UMA*D9</f>
        <v>216494.99999999997</v>
      </c>
      <c r="E45" s="28"/>
      <c r="F45" s="8"/>
      <c r="G45" s="8"/>
      <c r="H45" s="28"/>
      <c r="I45" s="6"/>
      <c r="J45" s="6"/>
      <c r="K45" s="6"/>
      <c r="L45" s="6"/>
      <c r="M45" s="7"/>
      <c r="N45" s="7"/>
      <c r="O45" s="7"/>
      <c r="P45" s="7"/>
      <c r="Q45" s="7"/>
    </row>
    <row r="46" spans="1:19" outlineLevel="1" x14ac:dyDescent="0.45">
      <c r="B46" s="2" t="s">
        <v>25</v>
      </c>
      <c r="C46" s="28"/>
      <c r="D46" s="8">
        <f>MAX(D44-D45,0)</f>
        <v>3305326.6083872132</v>
      </c>
      <c r="E46" s="28"/>
      <c r="F46" s="8"/>
      <c r="G46" s="8"/>
      <c r="H46" s="28"/>
      <c r="I46" s="6"/>
      <c r="J46" s="6"/>
      <c r="K46" s="6"/>
      <c r="L46" s="6"/>
      <c r="M46" s="7"/>
      <c r="N46" s="7"/>
      <c r="O46" s="7"/>
      <c r="P46" s="7"/>
      <c r="Q46" s="7"/>
    </row>
    <row r="47" spans="1:19" x14ac:dyDescent="0.45">
      <c r="B47" s="2" t="s">
        <v>26</v>
      </c>
      <c r="C47" s="28"/>
      <c r="D47" s="10">
        <f>D24</f>
        <v>0.28289999999999998</v>
      </c>
      <c r="E47" s="28"/>
      <c r="F47" s="8"/>
      <c r="G47" s="8"/>
      <c r="H47" s="28"/>
      <c r="I47" s="6"/>
      <c r="J47" s="6"/>
      <c r="K47" s="6"/>
      <c r="L47" s="6"/>
      <c r="M47" s="7"/>
      <c r="N47" s="7"/>
      <c r="O47" s="7"/>
      <c r="P47" s="7"/>
      <c r="Q47" s="7"/>
    </row>
    <row r="48" spans="1:19" x14ac:dyDescent="0.45">
      <c r="B48" s="3" t="s">
        <v>27</v>
      </c>
      <c r="C48" s="31"/>
      <c r="D48" s="20">
        <f>D46*D47</f>
        <v>935076.89751274255</v>
      </c>
      <c r="E48" s="31"/>
      <c r="F48" s="8"/>
      <c r="G48" s="8"/>
      <c r="H48" s="31"/>
      <c r="I48" s="6"/>
      <c r="J48" s="6"/>
      <c r="K48" s="6"/>
      <c r="L48" s="6"/>
      <c r="M48" s="7"/>
      <c r="N48" s="7"/>
      <c r="O48" s="7"/>
      <c r="P48" s="7"/>
      <c r="Q48" s="7"/>
    </row>
    <row r="49" spans="1:17" ht="8" customHeight="1" x14ac:dyDescent="0.45">
      <c r="C49" s="28"/>
      <c r="D49" s="8"/>
      <c r="E49" s="28"/>
      <c r="F49" s="8"/>
      <c r="G49" s="8"/>
      <c r="H49" s="28"/>
      <c r="I49" s="6"/>
      <c r="J49" s="6"/>
      <c r="K49" s="6"/>
      <c r="L49" s="6"/>
      <c r="M49" s="7"/>
      <c r="N49" s="7"/>
      <c r="O49" s="7"/>
      <c r="P49" s="7"/>
      <c r="Q49" s="7"/>
    </row>
    <row r="50" spans="1:17" x14ac:dyDescent="0.45">
      <c r="A50" s="4" t="s">
        <v>37</v>
      </c>
      <c r="B50" s="4"/>
      <c r="C50" s="31"/>
      <c r="D50" s="8"/>
      <c r="E50" s="31"/>
      <c r="F50" s="8"/>
      <c r="G50" s="8"/>
      <c r="H50" s="31"/>
      <c r="I50" s="6"/>
      <c r="J50" s="6"/>
      <c r="K50" s="6"/>
      <c r="L50" s="6"/>
      <c r="M50" s="7"/>
      <c r="N50" s="7"/>
      <c r="O50" s="7"/>
      <c r="P50" s="7"/>
      <c r="Q50" s="7"/>
    </row>
    <row r="51" spans="1:17" x14ac:dyDescent="0.45">
      <c r="B51" s="2" t="s">
        <v>38</v>
      </c>
      <c r="C51" s="28"/>
      <c r="D51" s="8">
        <f>D41</f>
        <v>3521821.6083872132</v>
      </c>
      <c r="E51" s="28"/>
      <c r="F51" s="8"/>
      <c r="G51" s="8"/>
      <c r="H51" s="28"/>
      <c r="I51" s="6"/>
      <c r="J51" s="6"/>
      <c r="K51" s="6"/>
      <c r="L51" s="6"/>
      <c r="M51" s="7"/>
      <c r="N51" s="7"/>
      <c r="O51" s="7"/>
      <c r="P51" s="7"/>
      <c r="Q51" s="7"/>
    </row>
    <row r="52" spans="1:17" x14ac:dyDescent="0.45">
      <c r="B52" s="2" t="s">
        <v>24</v>
      </c>
      <c r="C52" s="28"/>
      <c r="D52" s="8">
        <f>90*UMA*D9</f>
        <v>216494.99999999997</v>
      </c>
      <c r="E52" s="28"/>
      <c r="F52" s="8"/>
      <c r="G52" s="8"/>
      <c r="H52" s="28"/>
      <c r="I52" s="6"/>
      <c r="J52" s="6"/>
      <c r="K52" s="6"/>
      <c r="L52" s="6"/>
      <c r="M52" s="7"/>
      <c r="N52" s="7"/>
      <c r="O52" s="7"/>
      <c r="P52" s="7"/>
      <c r="Q52" s="7"/>
    </row>
    <row r="53" spans="1:17" x14ac:dyDescent="0.45">
      <c r="B53" s="2" t="s">
        <v>25</v>
      </c>
      <c r="C53" s="28"/>
      <c r="D53" s="8">
        <f>MAX(D51-D52,0)</f>
        <v>3305326.6083872132</v>
      </c>
      <c r="E53" s="28"/>
      <c r="F53" s="8"/>
      <c r="G53" s="8"/>
      <c r="H53" s="28"/>
      <c r="I53" s="6"/>
      <c r="J53" s="6"/>
      <c r="K53" s="6"/>
      <c r="L53" s="6"/>
      <c r="M53" s="7"/>
      <c r="N53" s="7"/>
      <c r="O53" s="7"/>
      <c r="P53" s="7"/>
      <c r="Q53" s="7"/>
    </row>
    <row r="54" spans="1:17" x14ac:dyDescent="0.45">
      <c r="B54" s="2" t="s">
        <v>92</v>
      </c>
      <c r="C54" s="28"/>
      <c r="D54" s="10">
        <f>D35</f>
        <v>0.3301</v>
      </c>
      <c r="E54" s="28"/>
      <c r="F54" s="8"/>
      <c r="G54" s="8"/>
      <c r="H54" s="28"/>
      <c r="I54" s="6"/>
      <c r="J54" s="6"/>
      <c r="K54" s="6"/>
      <c r="L54" s="6"/>
      <c r="M54" s="7"/>
      <c r="N54" s="7"/>
      <c r="O54" s="7"/>
      <c r="P54" s="7"/>
      <c r="Q54" s="7"/>
    </row>
    <row r="55" spans="1:17" x14ac:dyDescent="0.45">
      <c r="B55" s="3" t="s">
        <v>27</v>
      </c>
      <c r="C55" s="31"/>
      <c r="D55" s="20">
        <f>D53*D54</f>
        <v>1091088.3134286192</v>
      </c>
      <c r="E55" s="31"/>
      <c r="F55" s="8"/>
      <c r="G55" s="8"/>
      <c r="H55" s="31"/>
      <c r="I55" s="6"/>
      <c r="J55" s="6"/>
      <c r="K55" s="6"/>
      <c r="L55" s="6"/>
      <c r="M55" s="7"/>
      <c r="N55" s="7"/>
      <c r="O55" s="7"/>
      <c r="P55" s="7"/>
      <c r="Q55" s="7"/>
    </row>
    <row r="56" spans="1:17" x14ac:dyDescent="0.45">
      <c r="B56" s="2" t="s">
        <v>39</v>
      </c>
      <c r="C56" s="28"/>
      <c r="D56" s="8">
        <f>-D48</f>
        <v>-935076.89751274255</v>
      </c>
      <c r="E56" s="28"/>
      <c r="F56" s="8"/>
      <c r="G56" s="8"/>
      <c r="H56" s="28"/>
      <c r="I56" s="6"/>
      <c r="J56" s="6"/>
      <c r="K56" s="6"/>
      <c r="L56" s="6"/>
      <c r="M56" s="7"/>
      <c r="N56" s="7"/>
      <c r="O56" s="7"/>
      <c r="P56" s="7"/>
      <c r="Q56" s="7"/>
    </row>
    <row r="57" spans="1:17" x14ac:dyDescent="0.45">
      <c r="B57" s="3" t="s">
        <v>40</v>
      </c>
      <c r="C57" s="31"/>
      <c r="D57" s="20">
        <f>SUM(D55:D56)</f>
        <v>156011.41591587663</v>
      </c>
      <c r="E57" s="31"/>
      <c r="F57" s="8"/>
      <c r="G57" s="8"/>
      <c r="H57" s="31"/>
      <c r="I57" s="6"/>
      <c r="J57" s="6"/>
      <c r="K57" s="6"/>
      <c r="L57" s="6"/>
      <c r="M57" s="7"/>
      <c r="N57" s="7"/>
      <c r="O57" s="7"/>
      <c r="P57" s="7"/>
      <c r="Q57" s="7"/>
    </row>
    <row r="58" spans="1:17" x14ac:dyDescent="0.45">
      <c r="A58" s="28"/>
      <c r="B58" s="28"/>
      <c r="C58" s="28"/>
      <c r="D58" s="29"/>
      <c r="E58" s="28"/>
      <c r="F58" s="29"/>
      <c r="G58" s="29"/>
      <c r="H58" s="28"/>
      <c r="I58" s="29"/>
      <c r="J58" s="29"/>
      <c r="K58" s="6"/>
      <c r="L58" s="6"/>
      <c r="M58" s="7"/>
      <c r="N58" s="7"/>
      <c r="O58" s="7"/>
      <c r="P58" s="7"/>
      <c r="Q58" s="7"/>
    </row>
    <row r="59" spans="1:17" x14ac:dyDescent="0.45">
      <c r="A59" s="28"/>
      <c r="B59" s="28"/>
      <c r="C59" s="28"/>
      <c r="D59" s="29"/>
      <c r="E59" s="28"/>
      <c r="F59" s="29"/>
      <c r="G59" s="29"/>
      <c r="H59" s="28"/>
      <c r="I59" s="29"/>
      <c r="J59" s="29"/>
      <c r="K59" s="6"/>
      <c r="L59" s="6"/>
      <c r="M59" s="7"/>
      <c r="N59" s="7"/>
      <c r="O59" s="7"/>
      <c r="P59" s="7"/>
      <c r="Q59" s="7"/>
    </row>
    <row r="60" spans="1:17" x14ac:dyDescent="0.45">
      <c r="A60" s="28"/>
      <c r="B60" s="28"/>
      <c r="C60" s="28"/>
      <c r="D60" s="29"/>
      <c r="E60" s="28"/>
      <c r="F60" s="29"/>
      <c r="G60" s="29"/>
      <c r="H60" s="28"/>
      <c r="I60" s="29"/>
      <c r="J60" s="29"/>
      <c r="K60" s="6"/>
      <c r="L60" s="6"/>
      <c r="M60" s="6"/>
      <c r="N60" s="6"/>
      <c r="O60" s="6"/>
      <c r="P60" s="6"/>
      <c r="Q60" s="6"/>
    </row>
    <row r="61" spans="1:17" x14ac:dyDescent="0.45">
      <c r="D61" s="2"/>
      <c r="E61" s="2"/>
      <c r="F61" s="2"/>
      <c r="G61" s="2"/>
      <c r="H61" s="2"/>
      <c r="I61" s="6"/>
      <c r="J61" s="6"/>
      <c r="K61" s="6"/>
      <c r="L61" s="6"/>
      <c r="M61" s="6"/>
      <c r="N61" s="6"/>
      <c r="O61" s="6"/>
      <c r="P61" s="6"/>
      <c r="Q61" s="6"/>
    </row>
    <row r="62" spans="1:17" x14ac:dyDescent="0.45">
      <c r="D62" s="2"/>
      <c r="E62" s="2"/>
      <c r="F62" s="2"/>
      <c r="G62" s="2"/>
      <c r="H62" s="2"/>
      <c r="I62" s="6"/>
      <c r="J62" s="6"/>
      <c r="K62" s="6"/>
      <c r="L62" s="6"/>
      <c r="M62" s="6"/>
      <c r="N62" s="6"/>
      <c r="O62" s="6"/>
      <c r="P62" s="6"/>
      <c r="Q62" s="6"/>
    </row>
    <row r="63" spans="1:17" x14ac:dyDescent="0.45">
      <c r="D63" s="8"/>
      <c r="E63" s="8"/>
      <c r="F63" s="8"/>
      <c r="G63" s="8"/>
      <c r="H63" s="8"/>
      <c r="I63" s="6"/>
      <c r="J63" s="6"/>
      <c r="K63" s="6"/>
      <c r="L63" s="6"/>
      <c r="M63" s="6"/>
      <c r="N63" s="6"/>
      <c r="O63" s="6"/>
      <c r="P63" s="6"/>
      <c r="Q63" s="6"/>
    </row>
    <row r="64" spans="1:17" x14ac:dyDescent="0.45">
      <c r="D64" s="8"/>
      <c r="E64" s="8"/>
      <c r="F64" s="8"/>
      <c r="G64" s="8"/>
      <c r="H64" s="8"/>
      <c r="I64" s="6"/>
      <c r="J64" s="6"/>
      <c r="K64" s="6"/>
      <c r="L64" s="6"/>
      <c r="M64" s="6"/>
      <c r="N64" s="6"/>
      <c r="O64" s="6"/>
      <c r="P64" s="6"/>
      <c r="Q64" s="6"/>
    </row>
    <row r="65" spans="4:17" x14ac:dyDescent="0.45">
      <c r="D65" s="8"/>
      <c r="E65" s="8"/>
      <c r="F65" s="8"/>
      <c r="G65" s="8"/>
      <c r="H65" s="8"/>
      <c r="I65" s="6"/>
      <c r="J65" s="6"/>
      <c r="K65" s="6"/>
      <c r="L65" s="6"/>
      <c r="M65" s="6"/>
      <c r="N65" s="6"/>
      <c r="O65" s="6"/>
      <c r="P65" s="6"/>
      <c r="Q65" s="6"/>
    </row>
    <row r="66" spans="4:17" x14ac:dyDescent="0.45">
      <c r="D66" s="8"/>
      <c r="E66" s="8"/>
      <c r="F66" s="8"/>
      <c r="G66" s="8"/>
      <c r="H66" s="8"/>
      <c r="I66" s="6"/>
      <c r="J66" s="6"/>
      <c r="K66" s="6"/>
      <c r="L66" s="6"/>
      <c r="M66" s="6"/>
      <c r="N66" s="6"/>
      <c r="O66" s="6"/>
      <c r="P66" s="6"/>
      <c r="Q66" s="6"/>
    </row>
    <row r="67" spans="4:17" x14ac:dyDescent="0.45">
      <c r="D67" s="8"/>
      <c r="E67" s="8"/>
      <c r="F67" s="8"/>
      <c r="G67" s="8"/>
      <c r="H67" s="8"/>
      <c r="I67" s="6"/>
      <c r="J67" s="6"/>
      <c r="K67" s="6"/>
      <c r="L67" s="6"/>
      <c r="M67" s="6"/>
      <c r="N67" s="6"/>
      <c r="O67" s="6"/>
      <c r="P67" s="6"/>
      <c r="Q67" s="6"/>
    </row>
    <row r="68" spans="4:17" x14ac:dyDescent="0.45">
      <c r="D68" s="8"/>
      <c r="E68" s="8"/>
      <c r="F68" s="8"/>
      <c r="G68" s="8"/>
      <c r="H68" s="8"/>
      <c r="I68" s="6"/>
      <c r="J68" s="6"/>
      <c r="K68" s="6"/>
      <c r="L68" s="6"/>
      <c r="M68" s="6"/>
      <c r="N68" s="6"/>
      <c r="O68" s="6"/>
      <c r="P68" s="6"/>
      <c r="Q68" s="6"/>
    </row>
    <row r="69" spans="4:17" x14ac:dyDescent="0.45">
      <c r="D69" s="8"/>
      <c r="E69" s="8"/>
      <c r="F69" s="8"/>
      <c r="G69" s="8"/>
      <c r="H69" s="8"/>
      <c r="I69" s="6"/>
      <c r="J69" s="6"/>
      <c r="K69" s="6"/>
      <c r="L69" s="6"/>
      <c r="M69" s="6"/>
      <c r="N69" s="6"/>
      <c r="O69" s="6"/>
      <c r="P69" s="6"/>
      <c r="Q69" s="6"/>
    </row>
    <row r="70" spans="4:17" x14ac:dyDescent="0.45">
      <c r="D70" s="8"/>
      <c r="E70" s="8"/>
      <c r="F70" s="8"/>
      <c r="G70" s="8"/>
      <c r="H70" s="8"/>
      <c r="I70" s="6"/>
      <c r="J70" s="6"/>
      <c r="K70" s="6"/>
      <c r="L70" s="6"/>
      <c r="M70" s="6"/>
      <c r="N70" s="6"/>
      <c r="O70" s="6"/>
      <c r="P70" s="6"/>
      <c r="Q70" s="6"/>
    </row>
    <row r="71" spans="4:17" x14ac:dyDescent="0.45">
      <c r="D71" s="8"/>
      <c r="E71" s="8"/>
      <c r="F71" s="8"/>
      <c r="G71" s="8"/>
      <c r="H71" s="8"/>
      <c r="I71" s="6"/>
      <c r="J71" s="6"/>
      <c r="K71" s="6"/>
      <c r="L71" s="6"/>
      <c r="M71" s="6"/>
      <c r="N71" s="6"/>
      <c r="O71" s="6"/>
      <c r="P71" s="6"/>
      <c r="Q71" s="6"/>
    </row>
    <row r="72" spans="4:17" x14ac:dyDescent="0.45">
      <c r="D72" s="8"/>
      <c r="E72" s="8"/>
      <c r="F72" s="8"/>
      <c r="G72" s="8"/>
      <c r="H72" s="8"/>
      <c r="I72" s="6"/>
      <c r="J72" s="6"/>
      <c r="K72" s="6"/>
      <c r="L72" s="6"/>
      <c r="M72" s="6"/>
      <c r="N72" s="6"/>
      <c r="O72" s="6"/>
      <c r="P72" s="6"/>
      <c r="Q72" s="6"/>
    </row>
    <row r="73" spans="4:17" x14ac:dyDescent="0.45">
      <c r="D73" s="8"/>
      <c r="E73" s="8"/>
      <c r="F73" s="8"/>
      <c r="G73" s="8"/>
      <c r="H73" s="8"/>
      <c r="I73" s="6"/>
      <c r="J73" s="6"/>
      <c r="K73" s="6"/>
      <c r="L73" s="6"/>
      <c r="M73" s="6"/>
      <c r="N73" s="6"/>
      <c r="O73" s="6"/>
      <c r="P73" s="6"/>
      <c r="Q73" s="6"/>
    </row>
    <row r="74" spans="4:17" x14ac:dyDescent="0.45">
      <c r="D74" s="8"/>
      <c r="E74" s="8"/>
      <c r="F74" s="8"/>
      <c r="G74" s="8"/>
      <c r="H74" s="8"/>
      <c r="I74" s="6"/>
      <c r="J74" s="6"/>
      <c r="K74" s="6"/>
      <c r="L74" s="6"/>
      <c r="M74" s="6"/>
      <c r="N74" s="6"/>
      <c r="O74" s="6"/>
      <c r="P74" s="6"/>
      <c r="Q74" s="6"/>
    </row>
    <row r="75" spans="4:17" x14ac:dyDescent="0.45">
      <c r="D75" s="8"/>
      <c r="E75" s="8"/>
      <c r="F75" s="8"/>
      <c r="G75" s="8"/>
      <c r="H75" s="8"/>
      <c r="I75" s="6"/>
      <c r="J75" s="6"/>
      <c r="K75" s="6"/>
      <c r="L75" s="6"/>
      <c r="M75" s="6"/>
      <c r="N75" s="6"/>
      <c r="O75" s="6"/>
      <c r="P75" s="6"/>
      <c r="Q75" s="6"/>
    </row>
    <row r="76" spans="4:17" x14ac:dyDescent="0.45">
      <c r="D76" s="8"/>
      <c r="E76" s="8"/>
      <c r="F76" s="8"/>
      <c r="G76" s="8"/>
      <c r="H76" s="8"/>
      <c r="I76" s="6"/>
      <c r="J76" s="6"/>
      <c r="K76" s="6"/>
      <c r="L76" s="6"/>
      <c r="M76" s="6"/>
      <c r="N76" s="6"/>
      <c r="O76" s="6"/>
      <c r="P76" s="6"/>
      <c r="Q76" s="6"/>
    </row>
    <row r="77" spans="4:17" x14ac:dyDescent="0.45">
      <c r="D77" s="8"/>
      <c r="E77" s="8"/>
      <c r="F77" s="8"/>
      <c r="G77" s="8"/>
      <c r="H77" s="8"/>
      <c r="I77" s="6"/>
      <c r="J77" s="6"/>
      <c r="K77" s="6"/>
      <c r="L77" s="6"/>
      <c r="M77" s="6"/>
      <c r="N77" s="6"/>
      <c r="O77" s="6"/>
      <c r="P77" s="6"/>
      <c r="Q77" s="6"/>
    </row>
    <row r="78" spans="4:17" x14ac:dyDescent="0.45">
      <c r="D78" s="8"/>
      <c r="E78" s="8"/>
      <c r="F78" s="8"/>
      <c r="G78" s="8"/>
      <c r="H78" s="8"/>
      <c r="I78" s="6"/>
      <c r="J78" s="6"/>
      <c r="K78" s="6"/>
      <c r="L78" s="6"/>
      <c r="M78" s="6"/>
      <c r="N78" s="6"/>
      <c r="O78" s="6"/>
      <c r="P78" s="6"/>
      <c r="Q78" s="6"/>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47FF-05C4-46BA-8DE4-A83B33F34EA6}">
  <dimension ref="A1:AC89"/>
  <sheetViews>
    <sheetView showGridLines="0" workbookViewId="0">
      <pane xSplit="3" ySplit="5" topLeftCell="D6" activePane="bottomRight" state="frozen"/>
      <selection activeCell="AB4" sqref="AB4:AC8"/>
      <selection pane="topRight" activeCell="AB4" sqref="AB4:AC8"/>
      <selection pane="bottomLeft" activeCell="AB4" sqref="AB4:AC8"/>
      <selection pane="bottomRight" activeCell="D25" sqref="D25"/>
    </sheetView>
  </sheetViews>
  <sheetFormatPr baseColWidth="10" defaultRowHeight="16.5" outlineLevelRow="1" x14ac:dyDescent="0.45"/>
  <cols>
    <col min="1" max="1" width="2.453125" style="2" customWidth="1"/>
    <col min="2" max="2" width="30.36328125" style="2" customWidth="1"/>
    <col min="3" max="3" width="1.6328125" style="2" customWidth="1"/>
    <col min="4" max="4" width="19.1796875" style="17" customWidth="1"/>
    <col min="5" max="5" width="1.6328125" style="17" customWidth="1"/>
    <col min="6" max="6" width="15.6328125" style="17" customWidth="1"/>
    <col min="7" max="7" width="10.90625" style="17" customWidth="1"/>
    <col min="8" max="8" width="1.6328125" style="17" customWidth="1"/>
    <col min="9" max="10" width="15.6328125" style="11" customWidth="1"/>
    <col min="11" max="11" width="1.6328125" style="11" customWidth="1"/>
    <col min="12" max="12" width="15.6328125" style="11" customWidth="1"/>
    <col min="13" max="17" width="15.6328125" style="2" customWidth="1"/>
    <col min="18" max="18" width="10.90625" style="2" customWidth="1"/>
    <col min="19" max="19" width="14.1796875" style="2" customWidth="1"/>
    <col min="20" max="20" width="10.90625" style="2" customWidth="1"/>
    <col min="21" max="16384" width="10.90625" style="2"/>
  </cols>
  <sheetData>
    <row r="1" spans="1:29" ht="23" x14ac:dyDescent="0.6">
      <c r="A1" s="26" t="s">
        <v>58</v>
      </c>
    </row>
    <row r="2" spans="1:29" ht="20.5" x14ac:dyDescent="0.55000000000000004">
      <c r="A2" s="25" t="s">
        <v>49</v>
      </c>
    </row>
    <row r="3" spans="1:29" ht="20.5" x14ac:dyDescent="0.55000000000000004">
      <c r="A3" s="25"/>
    </row>
    <row r="4" spans="1:29" x14ac:dyDescent="0.45">
      <c r="D4" s="27" t="s">
        <v>50</v>
      </c>
      <c r="F4" s="33" t="s">
        <v>51</v>
      </c>
      <c r="G4" s="33"/>
      <c r="I4" s="35" t="s">
        <v>56</v>
      </c>
      <c r="J4" s="35"/>
      <c r="AB4" s="2" t="s">
        <v>4</v>
      </c>
      <c r="AC4" s="2">
        <v>96.22</v>
      </c>
    </row>
    <row r="5" spans="1:29" x14ac:dyDescent="0.45">
      <c r="D5" s="27" t="s">
        <v>41</v>
      </c>
      <c r="E5" s="18"/>
      <c r="F5" s="27" t="s">
        <v>42</v>
      </c>
      <c r="G5" s="27" t="s">
        <v>47</v>
      </c>
      <c r="I5" s="27" t="s">
        <v>45</v>
      </c>
      <c r="J5" s="27" t="s">
        <v>46</v>
      </c>
      <c r="AB5" s="2" t="s">
        <v>5</v>
      </c>
      <c r="AC5" s="2">
        <v>172.87</v>
      </c>
    </row>
    <row r="6" spans="1:29" x14ac:dyDescent="0.45">
      <c r="A6" s="28"/>
      <c r="B6" s="28"/>
      <c r="C6" s="28"/>
      <c r="D6" s="28"/>
      <c r="E6" s="28"/>
      <c r="F6" s="30"/>
      <c r="G6" s="30"/>
      <c r="H6" s="28"/>
      <c r="I6" s="28"/>
      <c r="J6" s="28"/>
      <c r="K6" s="23"/>
      <c r="L6" s="23"/>
      <c r="M6" s="1"/>
      <c r="N6" s="1"/>
      <c r="O6" s="1"/>
      <c r="P6" s="1"/>
      <c r="Q6" s="1"/>
      <c r="AB6" s="2" t="s">
        <v>6</v>
      </c>
      <c r="AC6" s="2">
        <v>260.33999999999997</v>
      </c>
    </row>
    <row r="7" spans="1:29" x14ac:dyDescent="0.45">
      <c r="A7" s="4" t="s">
        <v>14</v>
      </c>
      <c r="B7" s="4"/>
      <c r="C7" s="31"/>
      <c r="D7" s="28"/>
      <c r="E7" s="28"/>
      <c r="F7" s="30"/>
      <c r="G7" s="30"/>
      <c r="H7" s="28"/>
      <c r="I7" s="28"/>
      <c r="J7" s="28"/>
      <c r="K7" s="23"/>
      <c r="L7" s="23"/>
      <c r="M7" s="1"/>
      <c r="N7" s="1"/>
      <c r="O7" s="1"/>
      <c r="P7" s="1"/>
      <c r="Q7" s="1"/>
      <c r="AB7" s="2" t="s">
        <v>43</v>
      </c>
      <c r="AC7" s="22">
        <v>0.3</v>
      </c>
    </row>
    <row r="8" spans="1:29" x14ac:dyDescent="0.45">
      <c r="B8" s="2" t="s">
        <v>7</v>
      </c>
      <c r="C8" s="28"/>
      <c r="D8" s="17">
        <v>65</v>
      </c>
      <c r="E8" s="28"/>
      <c r="F8" s="32"/>
      <c r="G8" s="32"/>
      <c r="H8" s="28"/>
      <c r="Q8" s="6"/>
      <c r="AB8" s="2" t="s">
        <v>44</v>
      </c>
      <c r="AC8" s="22">
        <v>0.53</v>
      </c>
    </row>
    <row r="9" spans="1:29" x14ac:dyDescent="0.45">
      <c r="B9" s="2" t="s">
        <v>8</v>
      </c>
      <c r="C9" s="28"/>
      <c r="D9" s="17">
        <v>35</v>
      </c>
      <c r="E9" s="28"/>
      <c r="F9" s="32"/>
      <c r="G9" s="32"/>
      <c r="H9" s="28"/>
      <c r="L9" s="10"/>
      <c r="M9" s="9"/>
      <c r="Q9" s="6"/>
    </row>
    <row r="10" spans="1:29" x14ac:dyDescent="0.45">
      <c r="B10" s="2" t="s">
        <v>9</v>
      </c>
      <c r="C10" s="28"/>
      <c r="D10" s="21">
        <v>150000</v>
      </c>
      <c r="E10" s="28"/>
      <c r="F10" s="5">
        <f>J10*TIMP</f>
        <v>45000</v>
      </c>
      <c r="G10" s="36">
        <f t="shared" ref="G10:G15" si="0">F10/D10</f>
        <v>0.3</v>
      </c>
      <c r="H10" s="28"/>
      <c r="I10" s="6">
        <v>0</v>
      </c>
      <c r="J10" s="6">
        <f>D10-I10</f>
        <v>150000</v>
      </c>
      <c r="K10" s="6"/>
      <c r="L10" s="24"/>
      <c r="M10" s="24"/>
      <c r="N10" s="7"/>
      <c r="O10" s="7"/>
      <c r="P10" s="7"/>
      <c r="Q10" s="7"/>
      <c r="S10" s="7"/>
    </row>
    <row r="11" spans="1:29" x14ac:dyDescent="0.45">
      <c r="B11" s="2" t="s">
        <v>10</v>
      </c>
      <c r="C11" s="28"/>
      <c r="D11" s="21">
        <f>(D10/365)*30.4</f>
        <v>12493.150684931505</v>
      </c>
      <c r="E11" s="28"/>
      <c r="F11" s="5">
        <f>J11*TIMP+I11*TIMP*DEDUC</f>
        <v>3544.4399054794517</v>
      </c>
      <c r="G11" s="36">
        <f t="shared" si="0"/>
        <v>0.28371065032894738</v>
      </c>
      <c r="H11" s="28"/>
      <c r="I11" s="6">
        <f>MIN(15*UMA,D11)</f>
        <v>1443.3</v>
      </c>
      <c r="J11" s="6">
        <f>D11-I11</f>
        <v>11049.850684931505</v>
      </c>
      <c r="K11" s="6"/>
      <c r="L11" s="24"/>
      <c r="M11" s="24"/>
      <c r="N11" s="7"/>
      <c r="O11" s="7"/>
      <c r="P11" s="7"/>
      <c r="Q11" s="7"/>
      <c r="S11" s="7"/>
    </row>
    <row r="12" spans="1:29" x14ac:dyDescent="0.45">
      <c r="B12" s="2" t="s">
        <v>11</v>
      </c>
      <c r="C12" s="28"/>
      <c r="D12" s="21">
        <f>(((VLOOKUP(D9,Tb_Vac,3,TRUE)*(D10/30))*50%)/365)*30.4</f>
        <v>4580.821917808219</v>
      </c>
      <c r="E12" s="28"/>
      <c r="F12" s="5">
        <f>J12*TIMP+I12*TIMP*DEDUC</f>
        <v>1170.7412753424655</v>
      </c>
      <c r="G12" s="36">
        <f t="shared" si="0"/>
        <v>0.25557450089712913</v>
      </c>
      <c r="H12" s="28"/>
      <c r="I12" s="6">
        <f>MIN(15*UMA,D12)</f>
        <v>1443.3</v>
      </c>
      <c r="J12" s="6">
        <f>D12-I12</f>
        <v>3137.5219178082189</v>
      </c>
      <c r="K12" s="6"/>
      <c r="L12" s="24"/>
      <c r="M12" s="24"/>
      <c r="N12" s="7"/>
      <c r="O12" s="7"/>
      <c r="P12" s="7"/>
      <c r="Q12" s="7"/>
      <c r="S12" s="7"/>
    </row>
    <row r="13" spans="1:29" x14ac:dyDescent="0.45">
      <c r="B13" s="2" t="s">
        <v>12</v>
      </c>
      <c r="C13" s="28"/>
      <c r="D13" s="21">
        <f>MIN(13%*D10,13%*UMA*30.4*10)</f>
        <v>3802.6143999999999</v>
      </c>
      <c r="E13" s="28"/>
      <c r="F13" s="5">
        <f>J13*TIMP+I13*TIMP*DEDUC</f>
        <v>604.6156896</v>
      </c>
      <c r="G13" s="36">
        <f t="shared" si="0"/>
        <v>0.159</v>
      </c>
      <c r="H13" s="28"/>
      <c r="I13" s="6">
        <f>MIN(13%*10*UMA*30.4,D13)</f>
        <v>3802.6143999999999</v>
      </c>
      <c r="J13" s="6">
        <f>D13-I13</f>
        <v>0</v>
      </c>
      <c r="K13" s="6"/>
      <c r="L13" s="24"/>
      <c r="M13" s="24"/>
      <c r="N13" s="7"/>
      <c r="O13" s="7"/>
      <c r="P13" s="7"/>
      <c r="Q13" s="7"/>
      <c r="S13" s="7"/>
    </row>
    <row r="14" spans="1:29" x14ac:dyDescent="0.45">
      <c r="B14" s="2" t="s">
        <v>13</v>
      </c>
      <c r="C14" s="28"/>
      <c r="D14" s="21">
        <f>MIN(8%*D10,UMA*30.4)</f>
        <v>2925.0879999999997</v>
      </c>
      <c r="E14" s="28"/>
      <c r="F14" s="5">
        <f>J14*TIMP+I14*TIMP*DEDUC</f>
        <v>465.08899199999996</v>
      </c>
      <c r="G14" s="36">
        <f t="shared" si="0"/>
        <v>0.159</v>
      </c>
      <c r="H14" s="28"/>
      <c r="I14" s="6">
        <f>MIN(UMA*30.4,D14)</f>
        <v>2925.0879999999997</v>
      </c>
      <c r="J14" s="6">
        <f>D14-I14</f>
        <v>0</v>
      </c>
      <c r="K14" s="6"/>
      <c r="L14" s="24"/>
      <c r="M14" s="24"/>
      <c r="N14" s="7"/>
      <c r="O14" s="7"/>
      <c r="P14" s="7"/>
      <c r="Q14" s="7"/>
      <c r="S14" s="7"/>
    </row>
    <row r="15" spans="1:29" x14ac:dyDescent="0.45">
      <c r="B15" s="2" t="s">
        <v>3</v>
      </c>
      <c r="C15" s="28"/>
      <c r="D15" s="21">
        <f>SUM(D10:D14)</f>
        <v>173801.67500273968</v>
      </c>
      <c r="E15" s="28"/>
      <c r="F15" s="50">
        <f>SUM(F10:F14)</f>
        <v>50784.885862421914</v>
      </c>
      <c r="G15" s="48">
        <f t="shared" si="0"/>
        <v>0.2922002095872861</v>
      </c>
      <c r="H15" s="28"/>
      <c r="I15" s="6">
        <f>SUM(I10:I14)</f>
        <v>9614.3024000000005</v>
      </c>
      <c r="J15" s="6">
        <f>SUM(J10:J14)</f>
        <v>164187.37260273972</v>
      </c>
      <c r="K15" s="6"/>
      <c r="L15" s="6"/>
      <c r="M15" s="7"/>
      <c r="N15" s="7"/>
      <c r="O15" s="7"/>
      <c r="P15" s="7"/>
      <c r="Q15" s="7"/>
      <c r="S15" s="6"/>
    </row>
    <row r="16" spans="1:29" x14ac:dyDescent="0.45">
      <c r="A16" s="28"/>
      <c r="B16" s="28"/>
      <c r="C16" s="28"/>
      <c r="D16" s="29"/>
      <c r="E16" s="28"/>
      <c r="F16" s="29"/>
      <c r="G16" s="29"/>
      <c r="H16" s="28"/>
      <c r="I16" s="29"/>
      <c r="J16" s="29"/>
      <c r="K16" s="6"/>
      <c r="L16" s="6"/>
      <c r="M16" s="7"/>
      <c r="N16" s="7"/>
      <c r="O16" s="7"/>
      <c r="P16" s="7"/>
      <c r="Q16" s="7"/>
      <c r="S16" s="6"/>
    </row>
    <row r="17" spans="1:19" hidden="1" outlineLevel="1" x14ac:dyDescent="0.45">
      <c r="A17" s="4" t="s">
        <v>62</v>
      </c>
      <c r="B17" s="4"/>
      <c r="C17" s="31"/>
      <c r="D17" s="8"/>
      <c r="E17" s="31"/>
      <c r="F17" s="8"/>
      <c r="G17" s="8"/>
      <c r="H17" s="31"/>
      <c r="I17" s="6"/>
      <c r="J17" s="6"/>
      <c r="K17" s="6"/>
      <c r="L17" s="6"/>
      <c r="M17" s="7"/>
      <c r="N17" s="7"/>
      <c r="O17" s="7"/>
      <c r="P17" s="7"/>
      <c r="Q17" s="7"/>
      <c r="S17" s="6"/>
    </row>
    <row r="18" spans="1:19" hidden="1" outlineLevel="1" x14ac:dyDescent="0.45">
      <c r="B18" s="2" t="s">
        <v>63</v>
      </c>
      <c r="C18" s="28"/>
      <c r="D18" s="8">
        <f>D46</f>
        <v>64123.68</v>
      </c>
      <c r="E18" s="28"/>
      <c r="F18" s="8"/>
      <c r="G18" s="8"/>
      <c r="H18" s="28"/>
      <c r="I18" s="6"/>
      <c r="J18" s="6"/>
      <c r="K18" s="6"/>
      <c r="L18" s="6"/>
      <c r="M18" s="7"/>
      <c r="N18" s="7"/>
      <c r="O18" s="7"/>
      <c r="P18" s="7"/>
      <c r="Q18" s="7"/>
      <c r="S18" s="6"/>
    </row>
    <row r="19" spans="1:19" hidden="1" outlineLevel="1" x14ac:dyDescent="0.45">
      <c r="B19" s="2" t="s">
        <v>20</v>
      </c>
      <c r="C19" s="28"/>
      <c r="D19" s="8">
        <f>VLOOKUP(D18,Tb_Imp,1,TRUE)</f>
        <v>42537.59</v>
      </c>
      <c r="E19" s="28"/>
      <c r="F19" s="8"/>
      <c r="G19" s="8"/>
      <c r="H19" s="28"/>
      <c r="I19" s="6"/>
      <c r="J19" s="6"/>
      <c r="K19" s="6"/>
      <c r="L19" s="6"/>
      <c r="M19" s="7"/>
      <c r="N19" s="7"/>
      <c r="O19" s="7"/>
      <c r="P19" s="7"/>
      <c r="Q19" s="7"/>
      <c r="S19" s="6"/>
    </row>
    <row r="20" spans="1:19" hidden="1" outlineLevel="1" x14ac:dyDescent="0.45">
      <c r="B20" s="2" t="s">
        <v>21</v>
      </c>
      <c r="C20" s="28"/>
      <c r="D20" s="10">
        <f>VLOOKUP(D18,Tb_Imp,4,TRUE)</f>
        <v>0.3</v>
      </c>
      <c r="E20" s="28"/>
      <c r="F20" s="8"/>
      <c r="G20" s="8"/>
      <c r="H20" s="28"/>
      <c r="I20" s="6"/>
      <c r="J20" s="6"/>
      <c r="K20" s="6"/>
      <c r="L20" s="6"/>
      <c r="M20" s="7"/>
      <c r="N20" s="7"/>
      <c r="O20" s="7"/>
      <c r="P20" s="7"/>
      <c r="Q20" s="7"/>
      <c r="S20" s="6"/>
    </row>
    <row r="21" spans="1:19" hidden="1" outlineLevel="1" x14ac:dyDescent="0.45">
      <c r="B21" s="2" t="s">
        <v>22</v>
      </c>
      <c r="C21" s="28"/>
      <c r="D21" s="8">
        <f>(D18-D19)*D20</f>
        <v>6475.8270000000011</v>
      </c>
      <c r="E21" s="28"/>
      <c r="F21" s="8"/>
      <c r="G21" s="8"/>
      <c r="H21" s="28"/>
      <c r="I21" s="6"/>
      <c r="J21" s="6"/>
      <c r="K21" s="6"/>
      <c r="L21" s="6"/>
      <c r="M21" s="7"/>
      <c r="N21" s="7"/>
      <c r="O21" s="7"/>
      <c r="P21" s="7"/>
      <c r="Q21" s="7"/>
      <c r="S21" s="6"/>
    </row>
    <row r="22" spans="1:19" hidden="1" outlineLevel="1" x14ac:dyDescent="0.45">
      <c r="B22" s="2" t="s">
        <v>23</v>
      </c>
      <c r="C22" s="28"/>
      <c r="D22" s="8">
        <f>VLOOKUP(D18,Tb_Imp,3,TRUE)</f>
        <v>7980.73</v>
      </c>
      <c r="E22" s="28"/>
      <c r="F22" s="8"/>
      <c r="G22" s="8"/>
      <c r="H22" s="28"/>
      <c r="I22" s="6"/>
      <c r="J22" s="6"/>
      <c r="K22" s="6"/>
      <c r="L22" s="6"/>
      <c r="M22" s="7"/>
      <c r="N22" s="7"/>
      <c r="O22" s="7"/>
      <c r="P22" s="7"/>
      <c r="Q22" s="7"/>
      <c r="S22" s="6"/>
    </row>
    <row r="23" spans="1:19" hidden="1" outlineLevel="1" x14ac:dyDescent="0.45">
      <c r="B23" s="2" t="s">
        <v>16</v>
      </c>
      <c r="C23" s="28"/>
      <c r="D23" s="8">
        <f>D21+D22</f>
        <v>14456.557000000001</v>
      </c>
      <c r="E23" s="28"/>
      <c r="F23" s="8"/>
      <c r="G23" s="8"/>
      <c r="H23" s="28"/>
      <c r="I23" s="6"/>
      <c r="J23" s="6"/>
      <c r="K23" s="6"/>
      <c r="L23" s="6"/>
      <c r="M23" s="7"/>
      <c r="N23" s="7"/>
      <c r="O23" s="7"/>
      <c r="P23" s="7"/>
      <c r="Q23" s="7"/>
      <c r="S23" s="6"/>
    </row>
    <row r="24" spans="1:19" hidden="1" outlineLevel="1" x14ac:dyDescent="0.45">
      <c r="B24" s="2" t="s">
        <v>15</v>
      </c>
      <c r="C24" s="28"/>
      <c r="D24" s="10">
        <f>ROUND(D23/D18,4)</f>
        <v>0.22539999999999999</v>
      </c>
      <c r="E24" s="28"/>
      <c r="F24" s="8"/>
      <c r="G24" s="8"/>
      <c r="H24" s="28"/>
      <c r="I24" s="6"/>
      <c r="J24" s="6"/>
      <c r="K24" s="6"/>
      <c r="L24" s="6"/>
      <c r="M24" s="7"/>
      <c r="N24" s="7"/>
      <c r="O24" s="7"/>
      <c r="P24" s="7"/>
      <c r="Q24" s="7"/>
      <c r="S24" s="6"/>
    </row>
    <row r="25" spans="1:19" ht="8" customHeight="1" collapsed="1" x14ac:dyDescent="0.45">
      <c r="C25" s="28"/>
      <c r="D25" s="19"/>
      <c r="E25" s="28"/>
      <c r="F25" s="8"/>
      <c r="G25" s="8"/>
      <c r="H25" s="28"/>
      <c r="I25" s="6"/>
      <c r="J25" s="6"/>
      <c r="K25" s="6"/>
      <c r="L25" s="6"/>
      <c r="M25" s="7"/>
      <c r="N25" s="7"/>
      <c r="O25" s="7"/>
      <c r="P25" s="7"/>
      <c r="Q25" s="7"/>
      <c r="S25" s="6"/>
    </row>
    <row r="26" spans="1:19" outlineLevel="1" x14ac:dyDescent="0.45">
      <c r="A26" s="4" t="s">
        <v>57</v>
      </c>
      <c r="B26" s="4"/>
      <c r="C26" s="31"/>
      <c r="D26" s="19"/>
      <c r="E26" s="31"/>
      <c r="F26" s="8"/>
      <c r="G26" s="8"/>
      <c r="H26" s="31"/>
      <c r="I26" s="6"/>
      <c r="J26" s="6"/>
      <c r="K26" s="6"/>
      <c r="L26" s="6"/>
      <c r="M26" s="7"/>
      <c r="N26" s="7"/>
      <c r="O26" s="7"/>
      <c r="P26" s="7"/>
      <c r="Q26" s="7"/>
      <c r="S26" s="6"/>
    </row>
    <row r="27" spans="1:19" outlineLevel="1" x14ac:dyDescent="0.45">
      <c r="B27" s="2" t="s">
        <v>35</v>
      </c>
      <c r="C27" s="28"/>
      <c r="D27" s="8">
        <f>J10*12+(J11+J12+J13+J14)*365</f>
        <v>6978390.9999999991</v>
      </c>
      <c r="E27" s="28"/>
      <c r="F27" s="51"/>
      <c r="G27" s="51"/>
      <c r="H27" s="28"/>
      <c r="I27" s="6"/>
      <c r="J27" s="6"/>
      <c r="K27" s="6"/>
      <c r="L27" s="6"/>
      <c r="M27" s="7"/>
      <c r="N27" s="7"/>
      <c r="O27" s="7"/>
      <c r="P27" s="7"/>
      <c r="Q27" s="7"/>
      <c r="S27" s="6"/>
    </row>
    <row r="28" spans="1:19" outlineLevel="1" x14ac:dyDescent="0.45">
      <c r="B28" s="2" t="s">
        <v>83</v>
      </c>
      <c r="C28" s="28"/>
      <c r="D28" s="8">
        <v>0</v>
      </c>
      <c r="E28" s="28"/>
      <c r="F28" s="51"/>
      <c r="G28" s="51"/>
      <c r="H28" s="28"/>
      <c r="I28" s="6"/>
      <c r="J28" s="6"/>
      <c r="K28" s="6"/>
      <c r="L28" s="6"/>
      <c r="M28" s="7"/>
      <c r="N28" s="7"/>
      <c r="O28" s="7"/>
      <c r="P28" s="7"/>
      <c r="Q28" s="7"/>
      <c r="S28" s="6"/>
    </row>
    <row r="29" spans="1:19" outlineLevel="1" x14ac:dyDescent="0.45">
      <c r="B29" s="2" t="s">
        <v>36</v>
      </c>
      <c r="C29" s="28"/>
      <c r="D29" s="8">
        <f>SUM(D27:D28)</f>
        <v>6978390.9999999991</v>
      </c>
      <c r="E29" s="28"/>
      <c r="F29" s="51"/>
      <c r="G29" s="51"/>
      <c r="H29" s="28"/>
      <c r="I29" s="6"/>
      <c r="J29" s="6"/>
      <c r="K29" s="6"/>
      <c r="L29" s="6"/>
      <c r="M29" s="7"/>
      <c r="N29" s="7"/>
      <c r="O29" s="7"/>
      <c r="P29" s="7"/>
      <c r="Q29" s="7"/>
      <c r="S29" s="6"/>
    </row>
    <row r="30" spans="1:19" outlineLevel="1" x14ac:dyDescent="0.45">
      <c r="B30" s="2" t="s">
        <v>20</v>
      </c>
      <c r="C30" s="28"/>
      <c r="D30" s="8">
        <f>VLOOKUP(D29,Tb_ImpAnual,1,TRUE)</f>
        <v>3898140.13</v>
      </c>
      <c r="E30" s="28"/>
      <c r="F30" s="51"/>
      <c r="G30" s="51"/>
      <c r="H30" s="28"/>
      <c r="I30" s="6"/>
      <c r="J30" s="6"/>
      <c r="K30" s="6"/>
      <c r="L30" s="6"/>
      <c r="M30" s="7"/>
      <c r="N30" s="7"/>
      <c r="O30" s="7"/>
      <c r="P30" s="7"/>
      <c r="Q30" s="7"/>
      <c r="S30" s="6"/>
    </row>
    <row r="31" spans="1:19" outlineLevel="1" x14ac:dyDescent="0.45">
      <c r="B31" s="2" t="s">
        <v>21</v>
      </c>
      <c r="C31" s="28"/>
      <c r="D31" s="10">
        <f>VLOOKUP(D29,Tb_ImpAnual,4,TRUE)</f>
        <v>0.35</v>
      </c>
      <c r="E31" s="28"/>
      <c r="F31" s="52"/>
      <c r="G31" s="51"/>
      <c r="H31" s="28"/>
      <c r="I31" s="6"/>
      <c r="J31" s="6"/>
      <c r="K31" s="6"/>
      <c r="L31" s="6"/>
      <c r="M31" s="7"/>
      <c r="N31" s="7"/>
      <c r="O31" s="7"/>
      <c r="P31" s="7"/>
      <c r="Q31" s="7"/>
      <c r="S31" s="6"/>
    </row>
    <row r="32" spans="1:19" outlineLevel="1" x14ac:dyDescent="0.45">
      <c r="B32" s="2" t="s">
        <v>22</v>
      </c>
      <c r="C32" s="28"/>
      <c r="D32" s="8">
        <f>(D29-D30)*D31</f>
        <v>1078087.8044999996</v>
      </c>
      <c r="E32" s="28"/>
      <c r="F32" s="51"/>
      <c r="G32" s="51"/>
      <c r="H32" s="28"/>
      <c r="I32" s="6"/>
      <c r="J32" s="6"/>
      <c r="K32" s="6"/>
      <c r="L32" s="6"/>
      <c r="M32" s="7"/>
      <c r="N32" s="7"/>
      <c r="O32" s="7"/>
      <c r="P32" s="7"/>
      <c r="Q32" s="7"/>
      <c r="S32" s="6"/>
    </row>
    <row r="33" spans="1:19" outlineLevel="1" x14ac:dyDescent="0.45">
      <c r="B33" s="2" t="s">
        <v>23</v>
      </c>
      <c r="C33" s="28"/>
      <c r="D33" s="8">
        <f>VLOOKUP(D29,Tb_ImpAnual,3,TRUE)</f>
        <v>1222522.76</v>
      </c>
      <c r="E33" s="28"/>
      <c r="F33" s="51"/>
      <c r="G33" s="51"/>
      <c r="H33" s="28"/>
      <c r="I33" s="6"/>
      <c r="J33" s="6"/>
      <c r="K33" s="6"/>
      <c r="L33" s="6"/>
      <c r="M33" s="7"/>
      <c r="N33" s="7"/>
      <c r="O33" s="7"/>
      <c r="P33" s="7"/>
      <c r="Q33" s="7"/>
      <c r="S33" s="6"/>
    </row>
    <row r="34" spans="1:19" outlineLevel="1" x14ac:dyDescent="0.45">
      <c r="B34" s="2" t="s">
        <v>16</v>
      </c>
      <c r="C34" s="28"/>
      <c r="D34" s="8">
        <f>D32+D33</f>
        <v>2300610.5644999994</v>
      </c>
      <c r="E34" s="28"/>
      <c r="F34" s="51"/>
      <c r="G34" s="53"/>
      <c r="H34" s="28"/>
      <c r="I34" s="6"/>
      <c r="J34" s="6"/>
      <c r="K34" s="6"/>
      <c r="L34" s="6"/>
      <c r="M34" s="7"/>
      <c r="N34" s="7"/>
      <c r="O34" s="7"/>
      <c r="P34" s="7"/>
      <c r="Q34" s="7"/>
      <c r="S34" s="6"/>
    </row>
    <row r="35" spans="1:19" outlineLevel="1" x14ac:dyDescent="0.45">
      <c r="B35" s="2" t="s">
        <v>15</v>
      </c>
      <c r="C35" s="28"/>
      <c r="D35" s="10">
        <f>ROUND(D34/D29,4)</f>
        <v>0.32969999999999999</v>
      </c>
      <c r="E35" s="28"/>
      <c r="F35" s="52"/>
      <c r="G35" s="51"/>
      <c r="H35" s="28"/>
      <c r="I35" s="6"/>
      <c r="J35" s="6"/>
      <c r="K35" s="6"/>
      <c r="L35" s="6"/>
      <c r="M35" s="7"/>
      <c r="N35" s="7"/>
      <c r="O35" s="7"/>
      <c r="P35" s="7"/>
      <c r="Q35" s="7"/>
      <c r="S35" s="6"/>
    </row>
    <row r="36" spans="1:19" x14ac:dyDescent="0.45">
      <c r="A36" s="28"/>
      <c r="B36" s="28"/>
      <c r="C36" s="28"/>
      <c r="D36" s="29"/>
      <c r="E36" s="28"/>
      <c r="F36" s="29"/>
      <c r="G36" s="29"/>
      <c r="H36" s="28"/>
      <c r="I36" s="29"/>
      <c r="J36" s="29"/>
      <c r="K36" s="29"/>
      <c r="L36" s="6"/>
      <c r="M36" s="7"/>
      <c r="N36" s="7"/>
      <c r="O36" s="7"/>
      <c r="P36" s="7"/>
      <c r="Q36" s="7"/>
      <c r="S36" s="6"/>
    </row>
    <row r="37" spans="1:19" x14ac:dyDescent="0.45">
      <c r="A37" s="4" t="s">
        <v>18</v>
      </c>
      <c r="B37" s="4"/>
      <c r="C37" s="31"/>
      <c r="D37" s="18"/>
      <c r="E37" s="31"/>
      <c r="F37" s="8"/>
      <c r="G37" s="8"/>
      <c r="H37" s="31"/>
      <c r="I37" s="6"/>
      <c r="J37" s="6"/>
      <c r="K37" s="6"/>
      <c r="L37" s="6"/>
      <c r="M37" s="7"/>
      <c r="N37" s="7"/>
      <c r="O37" s="7"/>
      <c r="P37" s="7"/>
      <c r="Q37" s="7"/>
    </row>
    <row r="38" spans="1:19" x14ac:dyDescent="0.45">
      <c r="B38" s="2" t="s">
        <v>79</v>
      </c>
      <c r="C38" s="28"/>
      <c r="D38" s="8">
        <v>68000</v>
      </c>
      <c r="E38" s="28"/>
      <c r="F38" s="8"/>
      <c r="G38" s="8"/>
      <c r="H38" s="28"/>
      <c r="I38" s="6"/>
      <c r="J38" s="6"/>
      <c r="K38" s="6"/>
      <c r="L38" s="6"/>
      <c r="M38" s="7"/>
      <c r="N38" s="7"/>
      <c r="O38" s="7"/>
      <c r="P38" s="7"/>
      <c r="Q38" s="7"/>
    </row>
    <row r="39" spans="1:19" x14ac:dyDescent="0.45">
      <c r="B39" s="2" t="s">
        <v>80</v>
      </c>
      <c r="C39" s="28"/>
      <c r="D39" s="8">
        <v>40000</v>
      </c>
      <c r="E39" s="28"/>
      <c r="F39" s="8"/>
      <c r="G39" s="8"/>
      <c r="H39" s="28"/>
      <c r="I39" s="6"/>
      <c r="J39" s="6"/>
      <c r="K39" s="6"/>
      <c r="L39" s="6"/>
      <c r="M39" s="7"/>
      <c r="N39" s="7"/>
      <c r="O39" s="7"/>
      <c r="P39" s="7"/>
      <c r="Q39" s="7"/>
    </row>
    <row r="40" spans="1:19" x14ac:dyDescent="0.45">
      <c r="B40" s="2" t="s">
        <v>3</v>
      </c>
      <c r="C40" s="28"/>
      <c r="D40" s="8">
        <f>SUM(D38:D39)</f>
        <v>108000</v>
      </c>
      <c r="E40" s="28"/>
      <c r="F40" s="8"/>
      <c r="G40" s="36"/>
      <c r="H40" s="28"/>
      <c r="I40" s="6"/>
      <c r="J40" s="6"/>
      <c r="K40" s="6"/>
      <c r="L40" s="6"/>
      <c r="M40" s="7"/>
      <c r="N40" s="7"/>
      <c r="O40" s="7"/>
      <c r="P40" s="7"/>
      <c r="Q40" s="7"/>
    </row>
    <row r="41" spans="1:19" x14ac:dyDescent="0.45">
      <c r="B41" s="2" t="s">
        <v>81</v>
      </c>
      <c r="C41" s="28"/>
      <c r="D41" s="10">
        <f>D40/D10</f>
        <v>0.72</v>
      </c>
      <c r="E41" s="28"/>
      <c r="F41" s="6"/>
      <c r="G41" s="36"/>
      <c r="H41" s="28"/>
      <c r="I41" s="6"/>
      <c r="J41" s="6"/>
      <c r="K41" s="6"/>
      <c r="L41" s="6"/>
      <c r="M41" s="7"/>
      <c r="N41" s="7"/>
      <c r="O41" s="7"/>
      <c r="P41" s="7"/>
      <c r="Q41" s="7"/>
    </row>
    <row r="42" spans="1:19" x14ac:dyDescent="0.45">
      <c r="A42" s="28"/>
      <c r="B42" s="28"/>
      <c r="C42" s="28"/>
      <c r="D42" s="29"/>
      <c r="E42" s="28"/>
      <c r="F42" s="29"/>
      <c r="G42" s="29"/>
      <c r="H42" s="28"/>
      <c r="I42" s="29"/>
      <c r="J42" s="29"/>
      <c r="K42" s="6"/>
      <c r="L42" s="6"/>
      <c r="M42" s="7"/>
      <c r="N42" s="7"/>
      <c r="O42" s="7"/>
      <c r="P42" s="7"/>
      <c r="Q42" s="7"/>
    </row>
    <row r="43" spans="1:19" x14ac:dyDescent="0.45">
      <c r="A43" s="4" t="s">
        <v>17</v>
      </c>
      <c r="B43" s="4"/>
      <c r="C43" s="31"/>
      <c r="D43" s="8"/>
      <c r="E43" s="31"/>
      <c r="F43" s="8"/>
      <c r="G43" s="8"/>
      <c r="H43" s="31"/>
      <c r="I43" s="6"/>
      <c r="J43" s="6"/>
      <c r="K43" s="6"/>
      <c r="L43" s="6"/>
      <c r="M43" s="7"/>
      <c r="N43" s="7"/>
      <c r="O43" s="7"/>
      <c r="P43" s="7"/>
      <c r="Q43" s="7"/>
    </row>
    <row r="44" spans="1:19" x14ac:dyDescent="0.45">
      <c r="B44" s="2" t="s">
        <v>82</v>
      </c>
      <c r="C44" s="31"/>
      <c r="D44" s="8">
        <f>D40</f>
        <v>108000</v>
      </c>
      <c r="E44" s="31"/>
      <c r="F44" s="8"/>
      <c r="G44" s="8"/>
      <c r="H44" s="31"/>
      <c r="I44" s="6"/>
      <c r="J44" s="6"/>
      <c r="K44" s="6"/>
      <c r="L44" s="6"/>
      <c r="M44" s="7"/>
      <c r="N44" s="7"/>
      <c r="O44" s="7"/>
      <c r="P44" s="7"/>
      <c r="Q44" s="7"/>
    </row>
    <row r="45" spans="1:19" x14ac:dyDescent="0.45">
      <c r="B45" s="2" t="s">
        <v>67</v>
      </c>
      <c r="C45" s="28"/>
      <c r="D45" s="8">
        <f>15*UMA*30.4</f>
        <v>43876.32</v>
      </c>
      <c r="E45" s="28"/>
      <c r="F45" s="8"/>
      <c r="G45" s="8"/>
      <c r="H45" s="28"/>
      <c r="I45" s="6"/>
      <c r="J45" s="6"/>
      <c r="K45" s="6"/>
      <c r="L45" s="6"/>
      <c r="M45" s="7"/>
      <c r="N45" s="7"/>
      <c r="O45" s="7"/>
      <c r="P45" s="7"/>
      <c r="Q45" s="7"/>
    </row>
    <row r="46" spans="1:19" x14ac:dyDescent="0.45">
      <c r="B46" s="2" t="s">
        <v>68</v>
      </c>
      <c r="C46" s="28"/>
      <c r="D46" s="8">
        <f>MAX(D44-D45,0)</f>
        <v>64123.68</v>
      </c>
      <c r="E46" s="28"/>
      <c r="F46" s="8"/>
      <c r="G46" s="8"/>
      <c r="H46" s="28"/>
      <c r="I46" s="6"/>
      <c r="J46" s="6"/>
      <c r="K46" s="6"/>
      <c r="L46" s="6"/>
      <c r="M46" s="7"/>
      <c r="N46" s="7"/>
      <c r="O46" s="7"/>
      <c r="P46" s="7"/>
      <c r="Q46" s="7"/>
    </row>
    <row r="47" spans="1:19" x14ac:dyDescent="0.45">
      <c r="B47" s="3" t="s">
        <v>64</v>
      </c>
      <c r="C47" s="31"/>
      <c r="D47" s="20">
        <f>D53</f>
        <v>14456.557000000001</v>
      </c>
      <c r="E47" s="28"/>
      <c r="F47" s="8"/>
      <c r="G47" s="8"/>
      <c r="H47" s="28"/>
      <c r="I47" s="6"/>
      <c r="J47" s="6"/>
      <c r="K47" s="6"/>
      <c r="L47" s="6"/>
      <c r="M47" s="7"/>
      <c r="N47" s="7"/>
      <c r="O47" s="7"/>
      <c r="P47" s="7"/>
      <c r="Q47" s="7"/>
    </row>
    <row r="48" spans="1:19" ht="17.5" hidden="1" customHeight="1" outlineLevel="1" x14ac:dyDescent="0.45">
      <c r="A48" s="40"/>
      <c r="B48" s="41" t="s">
        <v>69</v>
      </c>
      <c r="C48" s="28"/>
      <c r="D48" s="42">
        <f>D46</f>
        <v>64123.68</v>
      </c>
      <c r="E48" s="28"/>
      <c r="F48" s="8"/>
      <c r="G48" s="8"/>
      <c r="H48" s="28"/>
      <c r="I48" s="6"/>
      <c r="J48" s="6"/>
      <c r="K48" s="6"/>
      <c r="L48" s="6"/>
      <c r="M48" s="7"/>
      <c r="N48" s="7"/>
      <c r="O48" s="7"/>
      <c r="P48" s="7"/>
      <c r="Q48" s="7"/>
    </row>
    <row r="49" spans="1:17" hidden="1" outlineLevel="1" x14ac:dyDescent="0.45">
      <c r="A49" s="40"/>
      <c r="B49" s="41" t="s">
        <v>70</v>
      </c>
      <c r="C49" s="38"/>
      <c r="D49" s="42">
        <f>VLOOKUP(D46,Tb_Imp,1,TRUE)</f>
        <v>42537.59</v>
      </c>
      <c r="E49" s="28"/>
      <c r="F49" s="8"/>
      <c r="G49" s="8"/>
      <c r="H49" s="28"/>
      <c r="I49" s="6"/>
      <c r="J49" s="6"/>
      <c r="K49" s="6"/>
      <c r="L49" s="6"/>
      <c r="M49" s="7"/>
      <c r="N49" s="7"/>
      <c r="O49" s="7"/>
      <c r="P49" s="7"/>
      <c r="Q49" s="7"/>
    </row>
    <row r="50" spans="1:17" hidden="1" outlineLevel="1" x14ac:dyDescent="0.45">
      <c r="A50" s="40"/>
      <c r="B50" s="41" t="s">
        <v>71</v>
      </c>
      <c r="C50" s="38"/>
      <c r="D50" s="43">
        <f>ROUND(VLOOKUP(D46,Tb_Imp,4,TRUE),4)</f>
        <v>0.3</v>
      </c>
      <c r="E50" s="28"/>
      <c r="F50" s="8"/>
      <c r="G50" s="8"/>
      <c r="H50" s="28"/>
      <c r="I50" s="6"/>
      <c r="J50" s="6"/>
      <c r="K50" s="6"/>
      <c r="L50" s="6"/>
      <c r="M50" s="7"/>
      <c r="N50" s="7"/>
      <c r="O50" s="7"/>
      <c r="P50" s="7"/>
      <c r="Q50" s="7"/>
    </row>
    <row r="51" spans="1:17" hidden="1" outlineLevel="1" x14ac:dyDescent="0.45">
      <c r="A51" s="40"/>
      <c r="B51" s="41" t="s">
        <v>72</v>
      </c>
      <c r="C51" s="38"/>
      <c r="D51" s="44">
        <f>(D46-D49)*D50</f>
        <v>6475.8270000000011</v>
      </c>
      <c r="E51" s="28"/>
      <c r="F51" s="8"/>
      <c r="G51" s="8"/>
      <c r="H51" s="28"/>
      <c r="I51" s="6"/>
      <c r="J51" s="6"/>
      <c r="K51" s="6"/>
      <c r="L51" s="6"/>
      <c r="M51" s="7"/>
      <c r="N51" s="7"/>
      <c r="O51" s="7"/>
      <c r="P51" s="7"/>
      <c r="Q51" s="7"/>
    </row>
    <row r="52" spans="1:17" hidden="1" outlineLevel="1" x14ac:dyDescent="0.45">
      <c r="A52" s="40"/>
      <c r="B52" s="41" t="s">
        <v>73</v>
      </c>
      <c r="C52" s="38"/>
      <c r="D52" s="44">
        <f>VLOOKUP(D46,Tb_Imp,3,TRUE)</f>
        <v>7980.73</v>
      </c>
      <c r="E52" s="28"/>
      <c r="F52" s="8"/>
      <c r="G52" s="8"/>
      <c r="H52" s="28"/>
      <c r="I52" s="6"/>
      <c r="J52" s="6"/>
      <c r="K52" s="6"/>
      <c r="L52" s="6"/>
      <c r="M52" s="7"/>
      <c r="N52" s="7"/>
      <c r="O52" s="7"/>
      <c r="P52" s="7"/>
      <c r="Q52" s="7"/>
    </row>
    <row r="53" spans="1:17" hidden="1" outlineLevel="1" x14ac:dyDescent="0.45">
      <c r="A53" s="40"/>
      <c r="B53" s="41" t="s">
        <v>74</v>
      </c>
      <c r="C53" s="38"/>
      <c r="D53" s="44">
        <f>D51+D52</f>
        <v>14456.557000000001</v>
      </c>
      <c r="E53" s="28"/>
      <c r="F53" s="8"/>
      <c r="G53" s="8"/>
      <c r="H53" s="28"/>
      <c r="I53" s="6"/>
      <c r="J53" s="6"/>
      <c r="K53" s="6"/>
      <c r="L53" s="6"/>
      <c r="M53" s="7"/>
      <c r="N53" s="7"/>
      <c r="O53" s="7"/>
      <c r="P53" s="7"/>
      <c r="Q53" s="7"/>
    </row>
    <row r="54" spans="1:17" collapsed="1" x14ac:dyDescent="0.45">
      <c r="B54" s="2" t="s">
        <v>84</v>
      </c>
      <c r="C54" s="28"/>
      <c r="D54" s="8">
        <f>D44-D47</f>
        <v>93543.442999999999</v>
      </c>
      <c r="E54" s="31"/>
      <c r="F54" s="8"/>
      <c r="G54" s="8"/>
      <c r="H54" s="31"/>
      <c r="I54" s="6"/>
      <c r="J54" s="6"/>
      <c r="K54" s="6"/>
      <c r="L54" s="6"/>
      <c r="M54" s="7"/>
      <c r="N54" s="7"/>
      <c r="O54" s="7"/>
      <c r="P54" s="7"/>
      <c r="Q54" s="7"/>
    </row>
    <row r="55" spans="1:17" ht="16.5" customHeight="1" x14ac:dyDescent="0.45">
      <c r="B55" s="40" t="s">
        <v>85</v>
      </c>
      <c r="C55" s="28"/>
      <c r="D55" s="46">
        <f>ROUND(D38/$D$40,3)</f>
        <v>0.63</v>
      </c>
      <c r="E55" s="28"/>
      <c r="F55" s="8"/>
      <c r="G55" s="8"/>
      <c r="H55" s="28"/>
      <c r="I55" s="6"/>
      <c r="J55" s="6"/>
      <c r="K55" s="6"/>
      <c r="L55" s="6"/>
      <c r="M55" s="7"/>
      <c r="N55" s="7"/>
      <c r="O55" s="7"/>
      <c r="P55" s="7"/>
      <c r="Q55" s="7"/>
    </row>
    <row r="56" spans="1:17" ht="16.5" customHeight="1" x14ac:dyDescent="0.45">
      <c r="B56" s="40" t="s">
        <v>88</v>
      </c>
      <c r="C56" s="28"/>
      <c r="D56" s="46">
        <f>ROUND(D39/$D$40,3)</f>
        <v>0.37</v>
      </c>
      <c r="E56" s="28"/>
      <c r="F56" s="8"/>
      <c r="G56" s="8"/>
      <c r="H56" s="28"/>
      <c r="I56" s="6"/>
      <c r="J56" s="6"/>
      <c r="K56" s="6"/>
      <c r="L56" s="6"/>
      <c r="M56" s="7"/>
      <c r="N56" s="7"/>
      <c r="O56" s="7"/>
      <c r="P56" s="7"/>
      <c r="Q56" s="7"/>
    </row>
    <row r="57" spans="1:17" ht="16.5" customHeight="1" x14ac:dyDescent="0.45">
      <c r="B57" s="40" t="s">
        <v>86</v>
      </c>
      <c r="C57" s="28"/>
      <c r="D57" s="45">
        <f>D55*D47</f>
        <v>9107.6309099999999</v>
      </c>
      <c r="E57" s="28"/>
      <c r="F57" s="8"/>
      <c r="G57" s="8"/>
      <c r="H57" s="28"/>
      <c r="I57" s="6"/>
      <c r="J57" s="6"/>
      <c r="K57" s="6"/>
      <c r="L57" s="6"/>
      <c r="M57" s="7"/>
      <c r="N57" s="7"/>
      <c r="O57" s="7"/>
      <c r="P57" s="7"/>
      <c r="Q57" s="7"/>
    </row>
    <row r="58" spans="1:17" ht="16.5" customHeight="1" x14ac:dyDescent="0.45">
      <c r="B58" s="40" t="s">
        <v>87</v>
      </c>
      <c r="C58" s="28"/>
      <c r="D58" s="45">
        <f>D56*D47</f>
        <v>5348.9260899999999</v>
      </c>
      <c r="E58" s="28"/>
      <c r="F58" s="8"/>
      <c r="G58" s="8"/>
      <c r="H58" s="28"/>
      <c r="I58" s="6"/>
      <c r="J58" s="6"/>
      <c r="K58" s="6"/>
      <c r="L58" s="6"/>
      <c r="M58" s="7"/>
      <c r="N58" s="7"/>
      <c r="O58" s="7"/>
      <c r="P58" s="7"/>
      <c r="Q58" s="7"/>
    </row>
    <row r="59" spans="1:17" ht="16.5" customHeight="1" x14ac:dyDescent="0.45">
      <c r="B59" s="3" t="s">
        <v>89</v>
      </c>
      <c r="C59" s="31"/>
      <c r="D59" s="20">
        <f>SUM(D57:D58)</f>
        <v>14456.557000000001</v>
      </c>
      <c r="E59" s="28"/>
      <c r="F59" s="8"/>
      <c r="G59" s="8"/>
      <c r="H59" s="28"/>
      <c r="I59" s="6"/>
      <c r="J59" s="6"/>
      <c r="K59" s="6"/>
      <c r="L59" s="6"/>
      <c r="M59" s="7"/>
      <c r="N59" s="7"/>
      <c r="O59" s="7"/>
      <c r="P59" s="7"/>
      <c r="Q59" s="7"/>
    </row>
    <row r="60" spans="1:17" ht="16.5" customHeight="1" x14ac:dyDescent="0.45">
      <c r="C60" s="28"/>
      <c r="D60" s="8"/>
      <c r="E60" s="28"/>
      <c r="F60" s="8"/>
      <c r="G60" s="8"/>
      <c r="H60" s="28"/>
      <c r="I60" s="6"/>
      <c r="J60" s="6"/>
      <c r="K60" s="6"/>
      <c r="L60" s="6"/>
      <c r="M60" s="7"/>
      <c r="N60" s="7"/>
      <c r="O60" s="7"/>
      <c r="P60" s="7"/>
      <c r="Q60" s="7"/>
    </row>
    <row r="61" spans="1:17" x14ac:dyDescent="0.45">
      <c r="C61" s="31"/>
      <c r="D61" s="8"/>
      <c r="E61" s="31"/>
      <c r="F61" s="8"/>
      <c r="G61" s="8"/>
      <c r="H61" s="31"/>
      <c r="I61" s="6"/>
      <c r="J61" s="6"/>
      <c r="K61" s="6"/>
      <c r="L61" s="6"/>
      <c r="M61" s="7"/>
      <c r="N61" s="7"/>
      <c r="O61" s="7"/>
      <c r="P61" s="7"/>
      <c r="Q61" s="7"/>
    </row>
    <row r="62" spans="1:17" x14ac:dyDescent="0.45">
      <c r="C62" s="28"/>
      <c r="D62" s="8"/>
      <c r="E62" s="28"/>
      <c r="F62" s="8"/>
      <c r="G62" s="8"/>
      <c r="H62" s="28"/>
      <c r="I62" s="6"/>
      <c r="J62" s="6"/>
      <c r="K62" s="6"/>
      <c r="L62" s="6"/>
      <c r="M62" s="7"/>
      <c r="N62" s="7"/>
      <c r="O62" s="7"/>
      <c r="P62" s="7"/>
      <c r="Q62" s="7"/>
    </row>
    <row r="63" spans="1:17" x14ac:dyDescent="0.45">
      <c r="C63" s="28"/>
      <c r="D63" s="8"/>
      <c r="E63" s="28"/>
      <c r="F63" s="8"/>
      <c r="G63" s="8"/>
      <c r="H63" s="28"/>
      <c r="I63" s="6"/>
      <c r="J63" s="6"/>
      <c r="K63" s="6"/>
      <c r="L63" s="6"/>
      <c r="M63" s="7"/>
      <c r="N63" s="7"/>
      <c r="O63" s="7"/>
      <c r="P63" s="7"/>
      <c r="Q63" s="7"/>
    </row>
    <row r="64" spans="1:17" x14ac:dyDescent="0.45">
      <c r="C64" s="28"/>
      <c r="D64" s="8"/>
      <c r="E64" s="28"/>
      <c r="F64" s="8"/>
      <c r="G64" s="8"/>
      <c r="H64" s="28"/>
      <c r="I64" s="6"/>
      <c r="J64" s="6"/>
      <c r="K64" s="6"/>
      <c r="L64" s="6"/>
      <c r="M64" s="7"/>
      <c r="N64" s="7"/>
      <c r="O64" s="7"/>
      <c r="P64" s="7"/>
      <c r="Q64" s="7"/>
    </row>
    <row r="65" spans="1:17" x14ac:dyDescent="0.45">
      <c r="C65" s="28"/>
      <c r="D65" s="10"/>
      <c r="E65" s="28"/>
      <c r="F65" s="8"/>
      <c r="G65" s="8"/>
      <c r="H65" s="28"/>
      <c r="I65" s="6"/>
      <c r="J65" s="6"/>
      <c r="K65" s="6"/>
      <c r="L65" s="6"/>
      <c r="M65" s="7"/>
      <c r="N65" s="7"/>
      <c r="O65" s="7"/>
      <c r="P65" s="7"/>
      <c r="Q65" s="7"/>
    </row>
    <row r="66" spans="1:17" x14ac:dyDescent="0.45">
      <c r="B66" s="3"/>
      <c r="C66" s="31"/>
      <c r="D66" s="20"/>
      <c r="E66" s="31"/>
      <c r="F66" s="8"/>
      <c r="G66" s="8"/>
      <c r="H66" s="31"/>
      <c r="I66" s="6"/>
      <c r="J66" s="6"/>
      <c r="K66" s="6"/>
      <c r="L66" s="6"/>
      <c r="M66" s="7"/>
      <c r="N66" s="7"/>
      <c r="O66" s="7"/>
      <c r="P66" s="7"/>
      <c r="Q66" s="7"/>
    </row>
    <row r="67" spans="1:17" x14ac:dyDescent="0.45">
      <c r="C67" s="28"/>
      <c r="D67" s="8"/>
      <c r="E67" s="28"/>
      <c r="F67" s="8"/>
      <c r="G67" s="8"/>
      <c r="H67" s="28"/>
      <c r="I67" s="6"/>
      <c r="J67" s="6"/>
      <c r="K67" s="6"/>
      <c r="L67" s="6"/>
      <c r="M67" s="7"/>
      <c r="N67" s="7"/>
      <c r="O67" s="7"/>
      <c r="P67" s="7"/>
      <c r="Q67" s="7"/>
    </row>
    <row r="68" spans="1:17" x14ac:dyDescent="0.45">
      <c r="B68" s="3"/>
      <c r="C68" s="31"/>
      <c r="D68" s="20"/>
      <c r="E68" s="31"/>
      <c r="F68" s="8"/>
      <c r="G68" s="8"/>
      <c r="H68" s="31"/>
      <c r="I68" s="6"/>
      <c r="J68" s="6"/>
      <c r="K68" s="6"/>
      <c r="L68" s="6"/>
      <c r="M68" s="7"/>
      <c r="N68" s="7"/>
      <c r="O68" s="7"/>
      <c r="P68" s="7"/>
      <c r="Q68" s="7"/>
    </row>
    <row r="69" spans="1:17" x14ac:dyDescent="0.45">
      <c r="A69" s="28"/>
      <c r="B69" s="28"/>
      <c r="C69" s="28"/>
      <c r="D69" s="29"/>
      <c r="E69" s="28"/>
      <c r="F69" s="29"/>
      <c r="G69" s="29"/>
      <c r="H69" s="28"/>
      <c r="I69" s="29"/>
      <c r="J69" s="29"/>
      <c r="K69" s="6"/>
      <c r="L69" s="6"/>
      <c r="M69" s="7"/>
      <c r="N69" s="7"/>
      <c r="O69" s="7"/>
      <c r="P69" s="7"/>
      <c r="Q69" s="7"/>
    </row>
    <row r="70" spans="1:17" x14ac:dyDescent="0.45">
      <c r="A70" s="28"/>
      <c r="B70" s="28"/>
      <c r="C70" s="28"/>
      <c r="D70" s="29"/>
      <c r="E70" s="28"/>
      <c r="F70" s="29"/>
      <c r="G70" s="29"/>
      <c r="H70" s="28"/>
      <c r="I70" s="29"/>
      <c r="J70" s="29"/>
      <c r="K70" s="6"/>
      <c r="L70" s="6"/>
      <c r="M70" s="7"/>
      <c r="N70" s="7"/>
      <c r="O70" s="7"/>
      <c r="P70" s="7"/>
      <c r="Q70" s="7"/>
    </row>
    <row r="71" spans="1:17" x14ac:dyDescent="0.45">
      <c r="A71" s="28"/>
      <c r="B71" s="28"/>
      <c r="C71" s="28"/>
      <c r="D71" s="29"/>
      <c r="E71" s="28"/>
      <c r="F71" s="29"/>
      <c r="G71" s="29"/>
      <c r="H71" s="28"/>
      <c r="I71" s="29"/>
      <c r="J71" s="29"/>
      <c r="K71" s="6"/>
      <c r="L71" s="6"/>
      <c r="M71" s="6"/>
      <c r="N71" s="6"/>
      <c r="O71" s="6"/>
      <c r="P71" s="6"/>
      <c r="Q71" s="6"/>
    </row>
    <row r="72" spans="1:17" x14ac:dyDescent="0.45">
      <c r="D72" s="2"/>
      <c r="E72" s="2"/>
      <c r="F72" s="2"/>
      <c r="G72" s="2"/>
      <c r="H72" s="2"/>
      <c r="I72" s="6"/>
      <c r="J72" s="6"/>
      <c r="K72" s="6"/>
      <c r="L72" s="6"/>
      <c r="M72" s="6"/>
      <c r="N72" s="6"/>
      <c r="O72" s="6"/>
      <c r="P72" s="6"/>
      <c r="Q72" s="6"/>
    </row>
    <row r="73" spans="1:17" x14ac:dyDescent="0.45">
      <c r="D73" s="2"/>
      <c r="E73" s="2"/>
      <c r="F73" s="2"/>
      <c r="G73" s="2"/>
      <c r="H73" s="2"/>
      <c r="I73" s="6"/>
      <c r="J73" s="6"/>
      <c r="K73" s="6"/>
      <c r="L73" s="6"/>
      <c r="M73" s="6"/>
      <c r="N73" s="6"/>
      <c r="O73" s="6"/>
      <c r="P73" s="6"/>
      <c r="Q73" s="6"/>
    </row>
    <row r="74" spans="1:17" x14ac:dyDescent="0.45">
      <c r="D74" s="8"/>
      <c r="E74" s="8"/>
      <c r="F74" s="8"/>
      <c r="G74" s="8"/>
      <c r="H74" s="8"/>
      <c r="I74" s="6"/>
      <c r="J74" s="6"/>
      <c r="K74" s="6"/>
      <c r="L74" s="6"/>
      <c r="M74" s="6"/>
      <c r="N74" s="6"/>
      <c r="O74" s="6"/>
      <c r="P74" s="6"/>
      <c r="Q74" s="6"/>
    </row>
    <row r="75" spans="1:17" x14ac:dyDescent="0.45">
      <c r="D75" s="8"/>
      <c r="E75" s="8"/>
      <c r="F75" s="8"/>
      <c r="G75" s="8"/>
      <c r="H75" s="8"/>
      <c r="I75" s="6"/>
      <c r="J75" s="6"/>
      <c r="K75" s="6"/>
      <c r="L75" s="6"/>
      <c r="M75" s="6"/>
      <c r="N75" s="6"/>
      <c r="O75" s="6"/>
      <c r="P75" s="6"/>
      <c r="Q75" s="6"/>
    </row>
    <row r="76" spans="1:17" x14ac:dyDescent="0.45">
      <c r="D76" s="8"/>
      <c r="E76" s="8"/>
      <c r="F76" s="8"/>
      <c r="G76" s="8"/>
      <c r="H76" s="8"/>
      <c r="I76" s="6"/>
      <c r="J76" s="6"/>
      <c r="K76" s="6"/>
      <c r="L76" s="6"/>
      <c r="M76" s="6"/>
      <c r="N76" s="6"/>
      <c r="O76" s="6"/>
      <c r="P76" s="6"/>
      <c r="Q76" s="6"/>
    </row>
    <row r="77" spans="1:17" x14ac:dyDescent="0.45">
      <c r="D77" s="8"/>
      <c r="E77" s="8"/>
      <c r="F77" s="8"/>
      <c r="G77" s="8"/>
      <c r="H77" s="8"/>
      <c r="I77" s="6"/>
      <c r="J77" s="6"/>
      <c r="K77" s="6"/>
      <c r="L77" s="6"/>
      <c r="M77" s="6"/>
      <c r="N77" s="6"/>
      <c r="O77" s="6"/>
      <c r="P77" s="6"/>
      <c r="Q77" s="6"/>
    </row>
    <row r="78" spans="1:17" x14ac:dyDescent="0.45">
      <c r="D78" s="8"/>
      <c r="E78" s="8"/>
      <c r="F78" s="8"/>
      <c r="G78" s="8"/>
      <c r="H78" s="8"/>
      <c r="I78" s="6"/>
      <c r="J78" s="6"/>
      <c r="K78" s="6"/>
      <c r="L78" s="6"/>
      <c r="M78" s="6"/>
      <c r="N78" s="6"/>
      <c r="O78" s="6"/>
      <c r="P78" s="6"/>
      <c r="Q78" s="6"/>
    </row>
    <row r="79" spans="1:17" x14ac:dyDescent="0.45">
      <c r="D79" s="8"/>
      <c r="E79" s="8"/>
      <c r="F79" s="8"/>
      <c r="G79" s="8"/>
      <c r="H79" s="8"/>
      <c r="I79" s="6"/>
      <c r="J79" s="6"/>
      <c r="K79" s="6"/>
      <c r="L79" s="6"/>
      <c r="M79" s="6"/>
      <c r="N79" s="6"/>
      <c r="O79" s="6"/>
      <c r="P79" s="6"/>
      <c r="Q79" s="6"/>
    </row>
    <row r="80" spans="1:17" x14ac:dyDescent="0.45">
      <c r="D80" s="8"/>
      <c r="E80" s="8"/>
      <c r="F80" s="8"/>
      <c r="G80" s="8"/>
      <c r="H80" s="8"/>
      <c r="I80" s="6"/>
      <c r="J80" s="6"/>
      <c r="K80" s="6"/>
      <c r="L80" s="6"/>
      <c r="M80" s="6"/>
      <c r="N80" s="6"/>
      <c r="O80" s="6"/>
      <c r="P80" s="6"/>
      <c r="Q80" s="6"/>
    </row>
    <row r="81" spans="4:17" x14ac:dyDescent="0.45">
      <c r="D81" s="8"/>
      <c r="E81" s="8"/>
      <c r="F81" s="8"/>
      <c r="G81" s="8"/>
      <c r="H81" s="8"/>
      <c r="I81" s="6"/>
      <c r="J81" s="6"/>
      <c r="K81" s="6"/>
      <c r="L81" s="6"/>
      <c r="M81" s="6"/>
      <c r="N81" s="6"/>
      <c r="O81" s="6"/>
      <c r="P81" s="6"/>
      <c r="Q81" s="6"/>
    </row>
    <row r="82" spans="4:17" x14ac:dyDescent="0.45">
      <c r="D82" s="8"/>
      <c r="E82" s="8"/>
      <c r="F82" s="8"/>
      <c r="G82" s="8"/>
      <c r="H82" s="8"/>
      <c r="I82" s="6"/>
      <c r="J82" s="6"/>
      <c r="K82" s="6"/>
      <c r="L82" s="6"/>
      <c r="M82" s="6"/>
      <c r="N82" s="6"/>
      <c r="O82" s="6"/>
      <c r="P82" s="6"/>
      <c r="Q82" s="6"/>
    </row>
    <row r="83" spans="4:17" x14ac:dyDescent="0.45">
      <c r="D83" s="8"/>
      <c r="E83" s="8"/>
      <c r="F83" s="8"/>
      <c r="G83" s="8"/>
      <c r="H83" s="8"/>
      <c r="I83" s="6"/>
      <c r="J83" s="6"/>
      <c r="K83" s="6"/>
      <c r="L83" s="6"/>
      <c r="M83" s="6"/>
      <c r="N83" s="6"/>
      <c r="O83" s="6"/>
      <c r="P83" s="6"/>
      <c r="Q83" s="6"/>
    </row>
    <row r="84" spans="4:17" x14ac:dyDescent="0.45">
      <c r="D84" s="8"/>
      <c r="E84" s="8"/>
      <c r="F84" s="8"/>
      <c r="G84" s="8"/>
      <c r="H84" s="8"/>
      <c r="I84" s="6"/>
      <c r="J84" s="6"/>
      <c r="K84" s="6"/>
      <c r="L84" s="6"/>
      <c r="M84" s="6"/>
      <c r="N84" s="6"/>
      <c r="O84" s="6"/>
      <c r="P84" s="6"/>
      <c r="Q84" s="6"/>
    </row>
    <row r="85" spans="4:17" x14ac:dyDescent="0.45">
      <c r="D85" s="8"/>
      <c r="E85" s="8"/>
      <c r="F85" s="8"/>
      <c r="G85" s="8"/>
      <c r="H85" s="8"/>
      <c r="I85" s="6"/>
      <c r="J85" s="6"/>
      <c r="K85" s="6"/>
      <c r="L85" s="6"/>
      <c r="M85" s="6"/>
      <c r="N85" s="6"/>
      <c r="O85" s="6"/>
      <c r="P85" s="6"/>
      <c r="Q85" s="6"/>
    </row>
    <row r="86" spans="4:17" x14ac:dyDescent="0.45">
      <c r="D86" s="8"/>
      <c r="E86" s="8"/>
      <c r="F86" s="8"/>
      <c r="G86" s="8"/>
      <c r="H86" s="8"/>
      <c r="I86" s="6"/>
      <c r="J86" s="6"/>
      <c r="K86" s="6"/>
      <c r="L86" s="6"/>
      <c r="M86" s="6"/>
      <c r="N86" s="6"/>
      <c r="O86" s="6"/>
      <c r="P86" s="6"/>
      <c r="Q86" s="6"/>
    </row>
    <row r="87" spans="4:17" x14ac:dyDescent="0.45">
      <c r="D87" s="8"/>
      <c r="E87" s="8"/>
      <c r="F87" s="8"/>
      <c r="G87" s="8"/>
      <c r="H87" s="8"/>
      <c r="I87" s="6"/>
      <c r="J87" s="6"/>
      <c r="K87" s="6"/>
      <c r="L87" s="6"/>
      <c r="M87" s="6"/>
      <c r="N87" s="6"/>
      <c r="O87" s="6"/>
      <c r="P87" s="6"/>
      <c r="Q87" s="6"/>
    </row>
    <row r="88" spans="4:17" x14ac:dyDescent="0.45">
      <c r="D88" s="8"/>
      <c r="E88" s="8"/>
      <c r="F88" s="8"/>
      <c r="G88" s="8"/>
      <c r="H88" s="8"/>
      <c r="I88" s="6"/>
      <c r="J88" s="6"/>
      <c r="K88" s="6"/>
      <c r="L88" s="6"/>
      <c r="M88" s="6"/>
      <c r="N88" s="6"/>
      <c r="O88" s="6"/>
      <c r="P88" s="6"/>
      <c r="Q88" s="6"/>
    </row>
    <row r="89" spans="4:17" x14ac:dyDescent="0.45">
      <c r="D89" s="8"/>
      <c r="E89" s="8"/>
      <c r="F89" s="8"/>
      <c r="G89" s="8"/>
      <c r="H89" s="8"/>
      <c r="I89" s="6"/>
      <c r="J89" s="6"/>
      <c r="K89" s="6"/>
      <c r="L89" s="6"/>
      <c r="M89" s="6"/>
      <c r="N89" s="6"/>
      <c r="O89" s="6"/>
      <c r="P89" s="6"/>
      <c r="Q89" s="6"/>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3AA24-2CA0-4400-81EB-8CA1FD76D21F}">
  <dimension ref="A1:AE81"/>
  <sheetViews>
    <sheetView showGridLines="0" tabSelected="1" workbookViewId="0">
      <pane xSplit="3" ySplit="5" topLeftCell="D36" activePane="bottomRight" state="frozen"/>
      <selection activeCell="AB4" sqref="AB4:AC8"/>
      <selection pane="topRight" activeCell="AB4" sqref="AB4:AC8"/>
      <selection pane="bottomLeft" activeCell="AB4" sqref="AB4:AC8"/>
      <selection pane="bottomRight" activeCell="D51" sqref="D51"/>
    </sheetView>
  </sheetViews>
  <sheetFormatPr baseColWidth="10" defaultRowHeight="16.5" outlineLevelRow="1" x14ac:dyDescent="0.45"/>
  <cols>
    <col min="1" max="1" width="2.453125" style="2" customWidth="1"/>
    <col min="2" max="2" width="30.36328125" style="2" customWidth="1"/>
    <col min="3" max="3" width="1.6328125" style="2" customWidth="1"/>
    <col min="4" max="4" width="19.1796875" style="17" customWidth="1"/>
    <col min="5" max="5" width="1.6328125" style="17" customWidth="1"/>
    <col min="6" max="6" width="15.6328125" style="17" customWidth="1"/>
    <col min="7" max="7" width="10.90625" style="17" customWidth="1"/>
    <col min="8" max="8" width="1.6328125" style="17" customWidth="1"/>
    <col min="9" max="10" width="15.6328125" style="11" customWidth="1"/>
    <col min="11" max="11" width="1.6328125" style="11" customWidth="1"/>
    <col min="12" max="12" width="15.6328125" style="11" customWidth="1"/>
    <col min="13" max="17" width="15.6328125" style="2" customWidth="1"/>
    <col min="18" max="18" width="10.90625" style="2" customWidth="1"/>
    <col min="19" max="19" width="14.1796875" style="2" customWidth="1"/>
    <col min="20" max="20" width="10.90625" style="2" customWidth="1"/>
    <col min="21" max="16384" width="10.90625" style="2"/>
  </cols>
  <sheetData>
    <row r="1" spans="1:31" ht="23" x14ac:dyDescent="0.6">
      <c r="A1" s="26" t="s">
        <v>58</v>
      </c>
    </row>
    <row r="2" spans="1:31" ht="20.5" x14ac:dyDescent="0.55000000000000004">
      <c r="A2" s="25" t="s">
        <v>49</v>
      </c>
    </row>
    <row r="3" spans="1:31" ht="20.5" x14ac:dyDescent="0.55000000000000004">
      <c r="A3" s="25"/>
    </row>
    <row r="4" spans="1:31" x14ac:dyDescent="0.45">
      <c r="D4" s="27" t="s">
        <v>50</v>
      </c>
      <c r="F4" s="33" t="s">
        <v>51</v>
      </c>
      <c r="G4" s="33"/>
      <c r="I4" s="35" t="s">
        <v>56</v>
      </c>
      <c r="J4" s="35"/>
      <c r="AD4" s="2" t="s">
        <v>4</v>
      </c>
      <c r="AE4" s="2">
        <v>96.22</v>
      </c>
    </row>
    <row r="5" spans="1:31" x14ac:dyDescent="0.45">
      <c r="D5" s="27" t="s">
        <v>41</v>
      </c>
      <c r="E5" s="18"/>
      <c r="F5" s="27" t="s">
        <v>42</v>
      </c>
      <c r="G5" s="27" t="s">
        <v>47</v>
      </c>
      <c r="I5" s="27" t="s">
        <v>45</v>
      </c>
      <c r="J5" s="27" t="s">
        <v>46</v>
      </c>
      <c r="AD5" s="2" t="s">
        <v>5</v>
      </c>
      <c r="AE5" s="2">
        <v>172.87</v>
      </c>
    </row>
    <row r="6" spans="1:31" x14ac:dyDescent="0.45">
      <c r="A6" s="28"/>
      <c r="B6" s="28"/>
      <c r="C6" s="28"/>
      <c r="D6" s="28"/>
      <c r="E6" s="28"/>
      <c r="F6" s="30"/>
      <c r="G6" s="30"/>
      <c r="H6" s="28"/>
      <c r="I6" s="28"/>
      <c r="J6" s="28"/>
      <c r="K6" s="23"/>
      <c r="L6" s="23"/>
      <c r="M6" s="1"/>
      <c r="N6" s="1"/>
      <c r="O6" s="1"/>
      <c r="P6" s="1"/>
      <c r="Q6" s="1"/>
      <c r="AD6" s="2" t="s">
        <v>6</v>
      </c>
      <c r="AE6" s="2">
        <v>260.33999999999997</v>
      </c>
    </row>
    <row r="7" spans="1:31" x14ac:dyDescent="0.45">
      <c r="A7" s="4" t="s">
        <v>14</v>
      </c>
      <c r="B7" s="4"/>
      <c r="C7" s="31"/>
      <c r="D7" s="28"/>
      <c r="E7" s="28"/>
      <c r="F7" s="30"/>
      <c r="G7" s="30"/>
      <c r="H7" s="28"/>
      <c r="I7" s="28"/>
      <c r="J7" s="28"/>
      <c r="K7" s="23"/>
      <c r="L7" s="23"/>
      <c r="M7" s="1"/>
      <c r="N7" s="1"/>
      <c r="O7" s="1"/>
      <c r="P7" s="1"/>
      <c r="Q7" s="1"/>
      <c r="AD7" s="2" t="s">
        <v>43</v>
      </c>
      <c r="AE7" s="22">
        <v>0.3</v>
      </c>
    </row>
    <row r="8" spans="1:31" x14ac:dyDescent="0.45">
      <c r="B8" s="2" t="s">
        <v>7</v>
      </c>
      <c r="C8" s="28"/>
      <c r="D8" s="17">
        <v>65</v>
      </c>
      <c r="E8" s="28"/>
      <c r="F8" s="32"/>
      <c r="G8" s="32"/>
      <c r="H8" s="28"/>
      <c r="Q8" s="6"/>
      <c r="AD8" s="2" t="s">
        <v>44</v>
      </c>
      <c r="AE8" s="22">
        <v>0.53</v>
      </c>
    </row>
    <row r="9" spans="1:31" x14ac:dyDescent="0.45">
      <c r="B9" s="2" t="s">
        <v>8</v>
      </c>
      <c r="C9" s="28"/>
      <c r="D9" s="17">
        <v>35</v>
      </c>
      <c r="E9" s="28"/>
      <c r="F9" s="32"/>
      <c r="G9" s="32"/>
      <c r="H9" s="28"/>
      <c r="L9" s="10"/>
      <c r="M9" s="9"/>
      <c r="Q9" s="6"/>
    </row>
    <row r="10" spans="1:31" x14ac:dyDescent="0.45">
      <c r="B10" s="2" t="s">
        <v>9</v>
      </c>
      <c r="C10" s="28"/>
      <c r="D10" s="21">
        <v>150000</v>
      </c>
      <c r="E10" s="28"/>
      <c r="F10" s="5">
        <f>J10*TIMP</f>
        <v>45000</v>
      </c>
      <c r="G10" s="36">
        <f t="shared" ref="G10:G15" si="0">F10/D10</f>
        <v>0.3</v>
      </c>
      <c r="H10" s="28"/>
      <c r="I10" s="6">
        <v>0</v>
      </c>
      <c r="J10" s="6">
        <f>D10-I10</f>
        <v>150000</v>
      </c>
      <c r="K10" s="6"/>
      <c r="L10" s="24"/>
      <c r="M10" s="24"/>
      <c r="N10" s="7"/>
      <c r="O10" s="7"/>
      <c r="P10" s="7"/>
      <c r="Q10" s="7"/>
      <c r="S10" s="7"/>
    </row>
    <row r="11" spans="1:31" x14ac:dyDescent="0.45">
      <c r="B11" s="2" t="s">
        <v>10</v>
      </c>
      <c r="C11" s="28"/>
      <c r="D11" s="21">
        <f>(D10/365)*30.4</f>
        <v>12493.150684931505</v>
      </c>
      <c r="E11" s="28"/>
      <c r="F11" s="5">
        <f>J11*TIMP+I11*TIMP*DEDUC</f>
        <v>3544.4399054794517</v>
      </c>
      <c r="G11" s="36">
        <f t="shared" si="0"/>
        <v>0.28371065032894738</v>
      </c>
      <c r="H11" s="28"/>
      <c r="I11" s="6">
        <f>MIN(15*UMA,D11)</f>
        <v>1443.3</v>
      </c>
      <c r="J11" s="6">
        <f>D11-I11</f>
        <v>11049.850684931505</v>
      </c>
      <c r="K11" s="6"/>
      <c r="L11" s="24"/>
      <c r="M11" s="24"/>
      <c r="N11" s="7"/>
      <c r="O11" s="7"/>
      <c r="P11" s="7"/>
      <c r="Q11" s="7"/>
      <c r="S11" s="7"/>
    </row>
    <row r="12" spans="1:31" x14ac:dyDescent="0.45">
      <c r="B12" s="2" t="s">
        <v>11</v>
      </c>
      <c r="C12" s="28"/>
      <c r="D12" s="21">
        <f>(((VLOOKUP(D9,Tb_Vac,3,TRUE)*(D10/30))*50%)/365)*30.4</f>
        <v>4580.821917808219</v>
      </c>
      <c r="E12" s="28"/>
      <c r="F12" s="5">
        <f>J12*TIMP+I12*TIMP*DEDUC</f>
        <v>1170.7412753424655</v>
      </c>
      <c r="G12" s="36">
        <f t="shared" si="0"/>
        <v>0.25557450089712913</v>
      </c>
      <c r="H12" s="28"/>
      <c r="I12" s="6">
        <f>MIN(15*UMA,D12)</f>
        <v>1443.3</v>
      </c>
      <c r="J12" s="6">
        <f>D12-I12</f>
        <v>3137.5219178082189</v>
      </c>
      <c r="K12" s="6"/>
      <c r="L12" s="24"/>
      <c r="M12" s="24"/>
      <c r="N12" s="7"/>
      <c r="O12" s="7"/>
      <c r="P12" s="7"/>
      <c r="Q12" s="7"/>
      <c r="S12" s="7"/>
    </row>
    <row r="13" spans="1:31" x14ac:dyDescent="0.45">
      <c r="B13" s="2" t="s">
        <v>12</v>
      </c>
      <c r="C13" s="28"/>
      <c r="D13" s="21">
        <f>MIN(13%*D10,13%*UMA*30.4*10)</f>
        <v>3802.6143999999999</v>
      </c>
      <c r="E13" s="28"/>
      <c r="F13" s="5">
        <f>J13*TIMP+I13*TIMP*DEDUC</f>
        <v>604.6156896</v>
      </c>
      <c r="G13" s="36">
        <f t="shared" si="0"/>
        <v>0.159</v>
      </c>
      <c r="H13" s="28"/>
      <c r="I13" s="6">
        <f>MIN(13%*10*UMA*30.4,D13)</f>
        <v>3802.6143999999999</v>
      </c>
      <c r="J13" s="6">
        <f>D13-I13</f>
        <v>0</v>
      </c>
      <c r="K13" s="6"/>
      <c r="L13" s="24"/>
      <c r="M13" s="24"/>
      <c r="N13" s="7"/>
      <c r="O13" s="7"/>
      <c r="P13" s="7"/>
      <c r="Q13" s="7"/>
      <c r="S13" s="7"/>
    </row>
    <row r="14" spans="1:31" x14ac:dyDescent="0.45">
      <c r="B14" s="2" t="s">
        <v>13</v>
      </c>
      <c r="C14" s="28"/>
      <c r="D14" s="21">
        <f>MIN(8%*D10,UMA*30.4)</f>
        <v>2925.0879999999997</v>
      </c>
      <c r="E14" s="28"/>
      <c r="F14" s="5">
        <f>J14*TIMP+I14*TIMP*DEDUC</f>
        <v>465.08899199999996</v>
      </c>
      <c r="G14" s="36">
        <f t="shared" si="0"/>
        <v>0.159</v>
      </c>
      <c r="H14" s="28"/>
      <c r="I14" s="6">
        <f>MIN(UMA*30.4,D14)</f>
        <v>2925.0879999999997</v>
      </c>
      <c r="J14" s="6">
        <f>D14-I14</f>
        <v>0</v>
      </c>
      <c r="K14" s="6"/>
      <c r="L14" s="24"/>
      <c r="M14" s="24"/>
      <c r="N14" s="7"/>
      <c r="O14" s="7"/>
      <c r="P14" s="7"/>
      <c r="Q14" s="7"/>
      <c r="S14" s="7"/>
    </row>
    <row r="15" spans="1:31" x14ac:dyDescent="0.45">
      <c r="B15" s="2" t="s">
        <v>3</v>
      </c>
      <c r="C15" s="28"/>
      <c r="D15" s="21">
        <f>SUM(D10:D14)</f>
        <v>173801.67500273968</v>
      </c>
      <c r="E15" s="28"/>
      <c r="F15" s="50">
        <f>SUM(F10:F14)</f>
        <v>50784.885862421914</v>
      </c>
      <c r="G15" s="48">
        <f t="shared" si="0"/>
        <v>0.2922002095872861</v>
      </c>
      <c r="H15" s="28"/>
      <c r="I15" s="6">
        <f>SUM(I10:I14)</f>
        <v>9614.3024000000005</v>
      </c>
      <c r="J15" s="6">
        <f>SUM(J10:J14)</f>
        <v>164187.37260273972</v>
      </c>
      <c r="K15" s="6"/>
      <c r="L15" s="6"/>
      <c r="M15" s="7"/>
      <c r="N15" s="7"/>
      <c r="O15" s="7"/>
      <c r="P15" s="7"/>
      <c r="Q15" s="7"/>
      <c r="S15" s="6"/>
    </row>
    <row r="16" spans="1:31" x14ac:dyDescent="0.45">
      <c r="A16" s="28"/>
      <c r="B16" s="28"/>
      <c r="C16" s="28"/>
      <c r="D16" s="29"/>
      <c r="E16" s="28"/>
      <c r="F16" s="29"/>
      <c r="G16" s="29"/>
      <c r="H16" s="28"/>
      <c r="I16" s="29"/>
      <c r="J16" s="29"/>
      <c r="K16" s="6"/>
      <c r="L16" s="6"/>
      <c r="M16" s="7"/>
      <c r="N16" s="7"/>
      <c r="O16" s="7"/>
      <c r="P16" s="7"/>
      <c r="Q16" s="7"/>
      <c r="S16" s="6"/>
    </row>
    <row r="17" spans="1:19" outlineLevel="1" x14ac:dyDescent="0.45">
      <c r="A17" s="4" t="s">
        <v>93</v>
      </c>
      <c r="B17" s="4"/>
      <c r="C17" s="31"/>
      <c r="D17" s="8"/>
      <c r="E17" s="31"/>
      <c r="F17" s="8"/>
      <c r="G17" s="8"/>
      <c r="H17" s="31"/>
      <c r="I17" s="6"/>
      <c r="J17" s="6"/>
      <c r="K17" s="6"/>
      <c r="L17" s="6"/>
      <c r="M17" s="7"/>
      <c r="N17" s="7"/>
      <c r="O17" s="7"/>
      <c r="P17" s="7"/>
      <c r="Q17" s="7"/>
      <c r="S17" s="6"/>
    </row>
    <row r="18" spans="1:19" outlineLevel="1" x14ac:dyDescent="0.45">
      <c r="B18" s="2" t="s">
        <v>63</v>
      </c>
      <c r="C18" s="28"/>
      <c r="D18" s="8">
        <f>D47</f>
        <v>10212.867947822313</v>
      </c>
      <c r="E18" s="28"/>
      <c r="F18" s="8"/>
      <c r="G18" s="8"/>
      <c r="H18" s="28"/>
      <c r="I18" s="6"/>
      <c r="J18" s="6"/>
      <c r="K18" s="6"/>
      <c r="L18" s="6"/>
      <c r="M18" s="7"/>
      <c r="N18" s="7"/>
      <c r="O18" s="7"/>
      <c r="P18" s="7"/>
      <c r="Q18" s="7"/>
      <c r="S18" s="6"/>
    </row>
    <row r="19" spans="1:19" outlineLevel="1" x14ac:dyDescent="0.45">
      <c r="B19" s="2" t="s">
        <v>20</v>
      </c>
      <c r="C19" s="28"/>
      <c r="D19" s="8">
        <f>VLOOKUP(D18,Tb_Imp,1,TRUE)</f>
        <v>9614.67</v>
      </c>
      <c r="E19" s="28"/>
      <c r="F19" s="8"/>
      <c r="G19" s="8"/>
      <c r="H19" s="28"/>
      <c r="I19" s="6"/>
      <c r="J19" s="6"/>
      <c r="K19" s="6"/>
      <c r="L19" s="6"/>
      <c r="M19" s="7"/>
      <c r="N19" s="7"/>
      <c r="O19" s="7"/>
      <c r="P19" s="7"/>
      <c r="Q19" s="7"/>
      <c r="S19" s="6"/>
    </row>
    <row r="20" spans="1:19" outlineLevel="1" x14ac:dyDescent="0.45">
      <c r="B20" s="2" t="s">
        <v>21</v>
      </c>
      <c r="C20" s="28"/>
      <c r="D20" s="10">
        <f>VLOOKUP(D18,Tb_Imp,4,TRUE)</f>
        <v>0.16</v>
      </c>
      <c r="E20" s="28"/>
      <c r="F20" s="8"/>
      <c r="G20" s="8"/>
      <c r="H20" s="28"/>
      <c r="I20" s="6"/>
      <c r="J20" s="6"/>
      <c r="K20" s="6"/>
      <c r="L20" s="6"/>
      <c r="M20" s="7"/>
      <c r="N20" s="7"/>
      <c r="O20" s="7"/>
      <c r="P20" s="7"/>
      <c r="Q20" s="7"/>
      <c r="S20" s="6"/>
    </row>
    <row r="21" spans="1:19" outlineLevel="1" x14ac:dyDescent="0.45">
      <c r="B21" s="2" t="s">
        <v>22</v>
      </c>
      <c r="C21" s="28"/>
      <c r="D21" s="8">
        <f>(D18-D19)*D20</f>
        <v>95.711671651570072</v>
      </c>
      <c r="E21" s="28"/>
      <c r="F21" s="8"/>
      <c r="G21" s="8"/>
      <c r="H21" s="28"/>
      <c r="I21" s="6"/>
      <c r="J21" s="6"/>
      <c r="K21" s="6"/>
      <c r="L21" s="6"/>
      <c r="M21" s="7"/>
      <c r="N21" s="7"/>
      <c r="O21" s="7"/>
      <c r="P21" s="7"/>
      <c r="Q21" s="7"/>
      <c r="S21" s="6"/>
    </row>
    <row r="22" spans="1:19" outlineLevel="1" x14ac:dyDescent="0.45">
      <c r="B22" s="2" t="s">
        <v>23</v>
      </c>
      <c r="C22" s="28"/>
      <c r="D22" s="8">
        <f>VLOOKUP(D18,Tb_Imp,3,TRUE)</f>
        <v>772.1</v>
      </c>
      <c r="E22" s="28"/>
      <c r="F22" s="8"/>
      <c r="G22" s="8"/>
      <c r="H22" s="28"/>
      <c r="I22" s="6"/>
      <c r="J22" s="6"/>
      <c r="K22" s="6"/>
      <c r="L22" s="6"/>
      <c r="M22" s="7"/>
      <c r="N22" s="7"/>
      <c r="O22" s="7"/>
      <c r="P22" s="7"/>
      <c r="Q22" s="7"/>
      <c r="S22" s="6"/>
    </row>
    <row r="23" spans="1:19" outlineLevel="1" x14ac:dyDescent="0.45">
      <c r="B23" s="2" t="s">
        <v>16</v>
      </c>
      <c r="C23" s="28"/>
      <c r="D23" s="8">
        <f>D21+D22</f>
        <v>867.81167165157012</v>
      </c>
      <c r="E23" s="28"/>
      <c r="F23" s="8"/>
      <c r="G23" s="8"/>
      <c r="H23" s="28"/>
      <c r="I23" s="6"/>
      <c r="J23" s="6"/>
      <c r="K23" s="6"/>
      <c r="L23" s="6"/>
      <c r="M23" s="7"/>
      <c r="N23" s="7"/>
      <c r="O23" s="7"/>
      <c r="P23" s="7"/>
      <c r="Q23" s="7"/>
      <c r="S23" s="6"/>
    </row>
    <row r="24" spans="1:19" outlineLevel="1" x14ac:dyDescent="0.45">
      <c r="B24" s="2" t="s">
        <v>15</v>
      </c>
      <c r="C24" s="28"/>
      <c r="D24" s="10">
        <f>ROUND(D23/D18,4)</f>
        <v>8.5000000000000006E-2</v>
      </c>
      <c r="E24" s="28"/>
      <c r="F24" s="8"/>
      <c r="G24" s="8"/>
      <c r="H24" s="28"/>
      <c r="I24" s="6"/>
      <c r="J24" s="6"/>
      <c r="K24" s="6"/>
      <c r="L24" s="6"/>
      <c r="M24" s="7"/>
      <c r="N24" s="7"/>
      <c r="O24" s="7"/>
      <c r="P24" s="7"/>
      <c r="Q24" s="7"/>
      <c r="S24" s="6"/>
    </row>
    <row r="25" spans="1:19" ht="8" customHeight="1" x14ac:dyDescent="0.45">
      <c r="C25" s="28"/>
      <c r="D25" s="19"/>
      <c r="E25" s="28"/>
      <c r="F25" s="8"/>
      <c r="G25" s="8"/>
      <c r="H25" s="28"/>
      <c r="I25" s="6"/>
      <c r="J25" s="6"/>
      <c r="K25" s="6"/>
      <c r="L25" s="6"/>
      <c r="M25" s="7"/>
      <c r="N25" s="7"/>
      <c r="O25" s="7"/>
      <c r="P25" s="7"/>
      <c r="Q25" s="7"/>
      <c r="S25" s="6"/>
    </row>
    <row r="26" spans="1:19" outlineLevel="1" x14ac:dyDescent="0.45">
      <c r="A26" s="4" t="s">
        <v>57</v>
      </c>
      <c r="B26" s="4"/>
      <c r="C26" s="31"/>
      <c r="D26" s="19"/>
      <c r="E26" s="31"/>
      <c r="F26" s="8"/>
      <c r="G26" s="8"/>
      <c r="H26" s="31"/>
      <c r="I26" s="6"/>
      <c r="J26" s="6"/>
      <c r="K26" s="6"/>
      <c r="L26" s="6"/>
      <c r="M26" s="7"/>
      <c r="N26" s="7"/>
      <c r="O26" s="7"/>
      <c r="P26" s="7"/>
      <c r="Q26" s="7"/>
      <c r="S26" s="6"/>
    </row>
    <row r="27" spans="1:19" outlineLevel="1" x14ac:dyDescent="0.45">
      <c r="B27" s="2" t="s">
        <v>35</v>
      </c>
      <c r="C27" s="28"/>
      <c r="D27" s="8">
        <f>J10*12+(J11+J12+J13+J14)*365</f>
        <v>6978390.9999999991</v>
      </c>
      <c r="E27" s="28"/>
      <c r="F27" s="8"/>
      <c r="G27" s="8"/>
      <c r="H27" s="28"/>
      <c r="I27" s="6"/>
      <c r="J27" s="6"/>
      <c r="K27" s="6"/>
      <c r="L27" s="6"/>
      <c r="M27" s="7"/>
      <c r="N27" s="7"/>
      <c r="O27" s="7"/>
      <c r="P27" s="7"/>
      <c r="Q27" s="7"/>
      <c r="S27" s="6"/>
    </row>
    <row r="28" spans="1:19" outlineLevel="1" x14ac:dyDescent="0.45">
      <c r="B28" s="2" t="s">
        <v>19</v>
      </c>
      <c r="C28" s="28"/>
      <c r="D28" s="8">
        <f>D10</f>
        <v>150000</v>
      </c>
      <c r="E28" s="28"/>
      <c r="F28" s="8"/>
      <c r="G28" s="8"/>
      <c r="H28" s="28"/>
      <c r="I28" s="6"/>
      <c r="J28" s="6"/>
      <c r="K28" s="6"/>
      <c r="L28" s="6"/>
      <c r="M28" s="7"/>
      <c r="N28" s="7"/>
      <c r="O28" s="7"/>
      <c r="P28" s="7"/>
      <c r="Q28" s="7"/>
      <c r="S28" s="6"/>
    </row>
    <row r="29" spans="1:19" outlineLevel="1" x14ac:dyDescent="0.45">
      <c r="B29" s="2" t="s">
        <v>36</v>
      </c>
      <c r="C29" s="28"/>
      <c r="D29" s="8">
        <f>SUM(D27:D28)</f>
        <v>7128390.9999999991</v>
      </c>
      <c r="E29" s="28"/>
      <c r="F29" s="8"/>
      <c r="G29" s="8"/>
      <c r="H29" s="28"/>
      <c r="I29" s="6"/>
      <c r="J29" s="6"/>
      <c r="K29" s="6"/>
      <c r="L29" s="6"/>
      <c r="M29" s="7"/>
      <c r="N29" s="7"/>
      <c r="O29" s="7"/>
      <c r="P29" s="7"/>
      <c r="Q29" s="7"/>
      <c r="S29" s="6"/>
    </row>
    <row r="30" spans="1:19" outlineLevel="1" x14ac:dyDescent="0.45">
      <c r="B30" s="2" t="s">
        <v>20</v>
      </c>
      <c r="C30" s="28"/>
      <c r="D30" s="8">
        <f>VLOOKUP(D29,Tb_ImpAnual,1,TRUE)</f>
        <v>3898140.13</v>
      </c>
      <c r="E30" s="28"/>
      <c r="F30" s="8"/>
      <c r="G30" s="8"/>
      <c r="H30" s="28"/>
      <c r="I30" s="6"/>
      <c r="J30" s="6"/>
      <c r="K30" s="6"/>
      <c r="L30" s="6"/>
      <c r="M30" s="7"/>
      <c r="N30" s="7"/>
      <c r="O30" s="7"/>
      <c r="P30" s="7"/>
      <c r="Q30" s="7"/>
      <c r="S30" s="6"/>
    </row>
    <row r="31" spans="1:19" outlineLevel="1" x14ac:dyDescent="0.45">
      <c r="B31" s="2" t="s">
        <v>21</v>
      </c>
      <c r="C31" s="28"/>
      <c r="D31" s="10">
        <f>VLOOKUP(D29,Tb_ImpAnual,4,TRUE)</f>
        <v>0.35</v>
      </c>
      <c r="E31" s="28"/>
      <c r="F31" s="8"/>
      <c r="G31" s="8"/>
      <c r="H31" s="28"/>
      <c r="I31" s="6"/>
      <c r="J31" s="6"/>
      <c r="K31" s="6"/>
      <c r="L31" s="6"/>
      <c r="M31" s="7"/>
      <c r="N31" s="7"/>
      <c r="O31" s="7"/>
      <c r="P31" s="7"/>
      <c r="Q31" s="7"/>
      <c r="S31" s="6"/>
    </row>
    <row r="32" spans="1:19" outlineLevel="1" x14ac:dyDescent="0.45">
      <c r="B32" s="2" t="s">
        <v>22</v>
      </c>
      <c r="C32" s="28"/>
      <c r="D32" s="8">
        <f>(D29-D30)*D31</f>
        <v>1130587.8044999996</v>
      </c>
      <c r="E32" s="28"/>
      <c r="F32" s="8"/>
      <c r="G32" s="8"/>
      <c r="H32" s="28"/>
      <c r="I32" s="6"/>
      <c r="J32" s="6"/>
      <c r="K32" s="6"/>
      <c r="L32" s="6"/>
      <c r="M32" s="7"/>
      <c r="N32" s="7"/>
      <c r="O32" s="7"/>
      <c r="P32" s="7"/>
      <c r="Q32" s="7"/>
      <c r="S32" s="6"/>
    </row>
    <row r="33" spans="1:19" outlineLevel="1" x14ac:dyDescent="0.45">
      <c r="B33" s="2" t="s">
        <v>23</v>
      </c>
      <c r="C33" s="28"/>
      <c r="D33" s="8">
        <f>VLOOKUP(D29,Tb_ImpAnual,3,TRUE)</f>
        <v>1222522.76</v>
      </c>
      <c r="E33" s="28"/>
      <c r="F33" s="8"/>
      <c r="G33" s="8"/>
      <c r="H33" s="28"/>
      <c r="I33" s="6"/>
      <c r="J33" s="6"/>
      <c r="K33" s="6"/>
      <c r="L33" s="6"/>
      <c r="M33" s="7"/>
      <c r="N33" s="7"/>
      <c r="O33" s="7"/>
      <c r="P33" s="7"/>
      <c r="Q33" s="7"/>
      <c r="S33" s="6"/>
    </row>
    <row r="34" spans="1:19" outlineLevel="1" x14ac:dyDescent="0.45">
      <c r="B34" s="2" t="s">
        <v>16</v>
      </c>
      <c r="C34" s="28"/>
      <c r="D34" s="8">
        <f>D32+D33</f>
        <v>2353110.5644999994</v>
      </c>
      <c r="E34" s="28"/>
      <c r="F34" s="8"/>
      <c r="G34" s="8"/>
      <c r="H34" s="28"/>
      <c r="I34" s="6"/>
      <c r="J34" s="6"/>
      <c r="K34" s="6"/>
      <c r="L34" s="6"/>
      <c r="M34" s="7"/>
      <c r="N34" s="7"/>
      <c r="O34" s="7"/>
      <c r="P34" s="7"/>
      <c r="Q34" s="7"/>
      <c r="S34" s="6"/>
    </row>
    <row r="35" spans="1:19" outlineLevel="1" x14ac:dyDescent="0.45">
      <c r="B35" s="2" t="s">
        <v>15</v>
      </c>
      <c r="C35" s="28"/>
      <c r="D35" s="10">
        <f>ROUND(D34/D29,4)</f>
        <v>0.3301</v>
      </c>
      <c r="E35" s="28"/>
      <c r="F35" s="8"/>
      <c r="G35" s="8"/>
      <c r="H35" s="28"/>
      <c r="I35" s="6"/>
      <c r="J35" s="6"/>
      <c r="K35" s="6"/>
      <c r="L35" s="6"/>
      <c r="M35" s="7"/>
      <c r="N35" s="7"/>
      <c r="O35" s="7"/>
      <c r="P35" s="7"/>
      <c r="Q35" s="7"/>
      <c r="S35" s="6"/>
    </row>
    <row r="36" spans="1:19" x14ac:dyDescent="0.45">
      <c r="A36" s="28"/>
      <c r="B36" s="28"/>
      <c r="C36" s="28"/>
      <c r="D36" s="29"/>
      <c r="E36" s="28"/>
      <c r="F36" s="29"/>
      <c r="G36" s="29"/>
      <c r="H36" s="28"/>
      <c r="I36" s="29"/>
      <c r="J36" s="29"/>
      <c r="K36" s="29"/>
      <c r="L36" s="6"/>
      <c r="M36" s="7"/>
      <c r="N36" s="7"/>
      <c r="O36" s="7"/>
      <c r="P36" s="7"/>
      <c r="Q36" s="7"/>
      <c r="S36" s="6"/>
    </row>
    <row r="37" spans="1:19" x14ac:dyDescent="0.45">
      <c r="A37" s="4" t="s">
        <v>18</v>
      </c>
      <c r="B37" s="4"/>
      <c r="C37" s="31"/>
      <c r="D37" s="18"/>
      <c r="E37" s="31"/>
      <c r="F37" s="8"/>
      <c r="G37" s="8"/>
      <c r="H37" s="31"/>
      <c r="I37" s="6"/>
      <c r="J37" s="6"/>
      <c r="K37" s="6"/>
      <c r="L37" s="6"/>
      <c r="M37" s="7"/>
      <c r="N37" s="7"/>
      <c r="O37" s="7"/>
      <c r="P37" s="7"/>
      <c r="Q37" s="7"/>
    </row>
    <row r="38" spans="1:19" x14ac:dyDescent="0.45">
      <c r="B38" s="2" t="s">
        <v>59</v>
      </c>
      <c r="C38" s="28"/>
      <c r="D38" s="8">
        <f>D39*0.3*1</f>
        <v>1373033.2325216434</v>
      </c>
      <c r="E38" s="28"/>
      <c r="F38" s="8"/>
      <c r="G38" s="8"/>
      <c r="H38" s="28"/>
      <c r="I38" s="6"/>
      <c r="J38" s="6"/>
      <c r="K38" s="6"/>
      <c r="L38" s="6"/>
      <c r="M38" s="7"/>
      <c r="N38" s="7"/>
      <c r="O38" s="7"/>
      <c r="P38" s="7"/>
      <c r="Q38" s="7"/>
    </row>
    <row r="39" spans="1:19" x14ac:dyDescent="0.45">
      <c r="B39" s="2" t="s">
        <v>60</v>
      </c>
      <c r="C39" s="28"/>
      <c r="D39" s="8">
        <f>D15*(3+(20/30)*D9)</f>
        <v>4576777.4417388113</v>
      </c>
      <c r="E39" s="28"/>
      <c r="F39" s="8"/>
      <c r="G39" s="8"/>
      <c r="H39" s="28"/>
      <c r="I39" s="6"/>
      <c r="J39" s="6"/>
      <c r="K39" s="6"/>
      <c r="L39" s="6"/>
      <c r="M39" s="7"/>
      <c r="N39" s="7"/>
      <c r="O39" s="7"/>
      <c r="P39" s="7"/>
      <c r="Q39" s="7"/>
    </row>
    <row r="40" spans="1:19" x14ac:dyDescent="0.45">
      <c r="B40" s="2" t="s">
        <v>3</v>
      </c>
      <c r="C40" s="28"/>
      <c r="D40" s="8">
        <f>SUM(D38:D39)</f>
        <v>5949810.6742604543</v>
      </c>
      <c r="E40" s="28"/>
      <c r="F40" s="8">
        <f>J40*TIMP+I40*TIMP*DEDUC</f>
        <v>1339266.5952781364</v>
      </c>
      <c r="G40" s="36">
        <f>F40/D40</f>
        <v>0.22509398510308123</v>
      </c>
      <c r="H40" s="28"/>
      <c r="I40" s="6">
        <f>90*UMA*365</f>
        <v>3160826.9999999995</v>
      </c>
      <c r="J40" s="6">
        <f>D40-I40</f>
        <v>2788983.6742604547</v>
      </c>
      <c r="K40" s="6"/>
      <c r="L40" s="6"/>
      <c r="M40" s="7"/>
      <c r="N40" s="7"/>
      <c r="O40" s="7"/>
      <c r="P40" s="7"/>
      <c r="Q40" s="7"/>
    </row>
    <row r="41" spans="1:19" x14ac:dyDescent="0.45">
      <c r="B41" s="2" t="s">
        <v>61</v>
      </c>
      <c r="C41" s="28"/>
      <c r="D41" s="39">
        <f>D40/110</f>
        <v>54089.187947822313</v>
      </c>
      <c r="E41" s="28"/>
      <c r="F41" s="6"/>
      <c r="G41" s="36"/>
      <c r="H41" s="28"/>
      <c r="I41" s="6"/>
      <c r="J41" s="6"/>
      <c r="K41" s="6"/>
      <c r="L41" s="6"/>
      <c r="M41" s="7"/>
      <c r="N41" s="7"/>
      <c r="O41" s="7"/>
      <c r="P41" s="7"/>
      <c r="Q41" s="7"/>
    </row>
    <row r="42" spans="1:19" x14ac:dyDescent="0.45">
      <c r="A42" s="28"/>
      <c r="B42" s="28"/>
      <c r="C42" s="28"/>
      <c r="D42" s="29"/>
      <c r="E42" s="28"/>
      <c r="F42" s="29"/>
      <c r="G42" s="29"/>
      <c r="H42" s="28"/>
      <c r="I42" s="29"/>
      <c r="J42" s="29"/>
      <c r="K42" s="6"/>
      <c r="L42" s="6"/>
      <c r="M42" s="7"/>
      <c r="N42" s="7"/>
      <c r="O42" s="7"/>
      <c r="P42" s="7"/>
      <c r="Q42" s="7"/>
    </row>
    <row r="43" spans="1:19" x14ac:dyDescent="0.45">
      <c r="A43" s="4" t="s">
        <v>17</v>
      </c>
      <c r="B43" s="4"/>
      <c r="C43" s="31"/>
      <c r="D43" s="8"/>
      <c r="E43" s="31"/>
      <c r="F43" s="8"/>
      <c r="G43" s="8"/>
      <c r="H43" s="31"/>
      <c r="I43" s="6"/>
      <c r="J43" s="6"/>
      <c r="K43" s="6"/>
      <c r="L43" s="6"/>
      <c r="M43" s="7"/>
      <c r="N43" s="7"/>
      <c r="O43" s="7"/>
      <c r="P43" s="7"/>
      <c r="Q43" s="7"/>
    </row>
    <row r="44" spans="1:19" x14ac:dyDescent="0.45">
      <c r="B44" s="2" t="s">
        <v>76</v>
      </c>
      <c r="C44" s="31"/>
      <c r="D44" s="8">
        <f>D40</f>
        <v>5949810.6742604543</v>
      </c>
      <c r="E44" s="31"/>
      <c r="F44" s="8"/>
      <c r="G44" s="8"/>
      <c r="H44" s="31"/>
      <c r="I44" s="6"/>
      <c r="J44" s="6"/>
      <c r="K44" s="6"/>
      <c r="L44" s="6"/>
      <c r="M44" s="7"/>
      <c r="N44" s="7"/>
      <c r="O44" s="7"/>
      <c r="P44" s="7"/>
      <c r="Q44" s="7"/>
    </row>
    <row r="45" spans="1:19" x14ac:dyDescent="0.45">
      <c r="B45" s="2" t="s">
        <v>66</v>
      </c>
      <c r="C45" s="28"/>
      <c r="D45" s="8">
        <f>D41</f>
        <v>54089.187947822313</v>
      </c>
      <c r="E45" s="28"/>
      <c r="F45" s="8"/>
      <c r="G45" s="8"/>
      <c r="H45" s="28"/>
      <c r="I45" s="6"/>
      <c r="J45" s="6"/>
      <c r="K45" s="6"/>
      <c r="L45" s="6"/>
      <c r="M45" s="7"/>
      <c r="N45" s="7"/>
      <c r="O45" s="7"/>
      <c r="P45" s="7"/>
      <c r="Q45" s="7"/>
    </row>
    <row r="46" spans="1:19" x14ac:dyDescent="0.45">
      <c r="B46" s="2" t="s">
        <v>67</v>
      </c>
      <c r="C46" s="28"/>
      <c r="D46" s="8">
        <f>15*UMA*30.4</f>
        <v>43876.32</v>
      </c>
      <c r="E46" s="28"/>
      <c r="F46" s="8"/>
      <c r="G46" s="8"/>
      <c r="H46" s="28"/>
      <c r="I46" s="6"/>
      <c r="J46" s="6"/>
      <c r="K46" s="6"/>
      <c r="L46" s="6"/>
      <c r="M46" s="7"/>
      <c r="N46" s="7"/>
      <c r="O46" s="7"/>
      <c r="P46" s="7"/>
      <c r="Q46" s="7"/>
    </row>
    <row r="47" spans="1:19" x14ac:dyDescent="0.45">
      <c r="B47" s="2" t="s">
        <v>68</v>
      </c>
      <c r="C47" s="28"/>
      <c r="D47" s="8">
        <f>MAX(D45-D46,0)</f>
        <v>10212.867947822313</v>
      </c>
      <c r="E47" s="28"/>
      <c r="F47" s="8"/>
      <c r="G47" s="8"/>
      <c r="H47" s="28"/>
      <c r="I47" s="6"/>
      <c r="J47" s="6"/>
      <c r="K47" s="6"/>
      <c r="L47" s="6"/>
      <c r="M47" s="7"/>
      <c r="N47" s="7"/>
      <c r="O47" s="7"/>
      <c r="P47" s="7"/>
      <c r="Q47" s="7"/>
    </row>
    <row r="48" spans="1:19" x14ac:dyDescent="0.45">
      <c r="B48" s="2" t="s">
        <v>64</v>
      </c>
      <c r="C48" s="28"/>
      <c r="D48" s="8">
        <f>D23</f>
        <v>867.81167165157012</v>
      </c>
      <c r="E48" s="28"/>
      <c r="F48" s="8"/>
      <c r="G48" s="8"/>
      <c r="H48" s="28"/>
      <c r="I48" s="6"/>
      <c r="J48" s="6"/>
      <c r="K48" s="6"/>
      <c r="L48" s="6"/>
      <c r="M48" s="7"/>
      <c r="N48" s="7"/>
      <c r="O48" s="7"/>
      <c r="P48" s="7"/>
      <c r="Q48" s="7"/>
    </row>
    <row r="49" spans="1:17" x14ac:dyDescent="0.45">
      <c r="B49" s="2" t="s">
        <v>78</v>
      </c>
      <c r="C49" s="28"/>
      <c r="D49" s="37">
        <f>D40/D41</f>
        <v>110</v>
      </c>
      <c r="E49" s="28"/>
      <c r="F49" s="8"/>
      <c r="G49" s="8"/>
      <c r="H49" s="28"/>
      <c r="I49" s="6"/>
      <c r="J49" s="6"/>
      <c r="K49" s="6"/>
      <c r="L49" s="6"/>
      <c r="M49" s="7"/>
      <c r="N49" s="7"/>
      <c r="O49" s="7"/>
      <c r="P49" s="7"/>
      <c r="Q49" s="7"/>
    </row>
    <row r="50" spans="1:17" x14ac:dyDescent="0.45">
      <c r="B50" s="2" t="s">
        <v>65</v>
      </c>
      <c r="C50" s="28"/>
      <c r="D50" s="8">
        <f>D49*D48</f>
        <v>95459.283881672716</v>
      </c>
      <c r="E50" s="28"/>
      <c r="F50" s="8"/>
      <c r="G50" s="8"/>
      <c r="H50" s="28"/>
      <c r="I50" s="6"/>
      <c r="J50" s="6"/>
      <c r="K50" s="6"/>
      <c r="L50" s="6"/>
      <c r="M50" s="7"/>
      <c r="N50" s="7"/>
      <c r="O50" s="7"/>
      <c r="P50" s="7"/>
      <c r="Q50" s="7"/>
    </row>
    <row r="51" spans="1:17" x14ac:dyDescent="0.45">
      <c r="B51" s="3" t="s">
        <v>75</v>
      </c>
      <c r="C51" s="31"/>
      <c r="D51" s="20">
        <f>D44-D50</f>
        <v>5854351.3903787816</v>
      </c>
      <c r="E51" s="31"/>
      <c r="F51" s="8"/>
      <c r="G51" s="8"/>
      <c r="H51" s="31"/>
      <c r="I51" s="6"/>
      <c r="J51" s="6"/>
      <c r="K51" s="6"/>
      <c r="L51" s="6"/>
      <c r="M51" s="7"/>
      <c r="N51" s="7"/>
      <c r="O51" s="7"/>
      <c r="P51" s="7"/>
      <c r="Q51" s="7"/>
    </row>
    <row r="52" spans="1:17" ht="8" customHeight="1" x14ac:dyDescent="0.45">
      <c r="C52" s="28"/>
      <c r="D52" s="8"/>
      <c r="E52" s="28"/>
      <c r="F52" s="8"/>
      <c r="G52" s="8"/>
      <c r="H52" s="28"/>
      <c r="I52" s="6"/>
      <c r="J52" s="6"/>
      <c r="K52" s="6"/>
      <c r="L52" s="6"/>
      <c r="M52" s="7"/>
      <c r="N52" s="7"/>
      <c r="O52" s="7"/>
      <c r="P52" s="7"/>
      <c r="Q52" s="7"/>
    </row>
    <row r="53" spans="1:17" x14ac:dyDescent="0.45">
      <c r="A53" s="4" t="s">
        <v>37</v>
      </c>
      <c r="B53" s="4"/>
      <c r="C53" s="31"/>
      <c r="D53" s="8"/>
      <c r="E53" s="31"/>
      <c r="F53" s="8"/>
      <c r="G53" s="8"/>
      <c r="H53" s="31"/>
      <c r="I53" s="6"/>
      <c r="J53" s="6"/>
      <c r="K53" s="6"/>
      <c r="L53" s="6"/>
      <c r="M53" s="7"/>
      <c r="N53" s="7"/>
      <c r="O53" s="7"/>
      <c r="P53" s="7"/>
      <c r="Q53" s="7"/>
    </row>
    <row r="54" spans="1:17" x14ac:dyDescent="0.45">
      <c r="B54" s="2" t="s">
        <v>76</v>
      </c>
      <c r="C54" s="28"/>
      <c r="D54" s="8">
        <f>D40</f>
        <v>5949810.6742604543</v>
      </c>
      <c r="E54" s="28"/>
      <c r="F54" s="8"/>
      <c r="G54" s="8"/>
      <c r="H54" s="28"/>
      <c r="I54" s="6"/>
      <c r="J54" s="6"/>
      <c r="K54" s="6"/>
      <c r="L54" s="6"/>
      <c r="M54" s="7"/>
      <c r="N54" s="7"/>
      <c r="O54" s="7"/>
      <c r="P54" s="7"/>
      <c r="Q54" s="7"/>
    </row>
    <row r="55" spans="1:17" x14ac:dyDescent="0.45">
      <c r="B55" s="2" t="s">
        <v>24</v>
      </c>
      <c r="C55" s="28"/>
      <c r="D55" s="8">
        <f>90*UMA*365</f>
        <v>3160826.9999999995</v>
      </c>
      <c r="E55" s="28"/>
      <c r="F55" s="8"/>
      <c r="G55" s="8"/>
      <c r="H55" s="28"/>
      <c r="I55" s="6"/>
      <c r="J55" s="6"/>
      <c r="K55" s="6"/>
      <c r="L55" s="6"/>
      <c r="M55" s="7"/>
      <c r="N55" s="7"/>
      <c r="O55" s="7"/>
      <c r="P55" s="7"/>
      <c r="Q55" s="7"/>
    </row>
    <row r="56" spans="1:17" x14ac:dyDescent="0.45">
      <c r="B56" s="2" t="s">
        <v>25</v>
      </c>
      <c r="C56" s="28"/>
      <c r="D56" s="8">
        <f>MAX(D54-D55,0)</f>
        <v>2788983.6742604547</v>
      </c>
      <c r="E56" s="28"/>
      <c r="F56" s="8"/>
      <c r="G56" s="8"/>
      <c r="H56" s="28"/>
      <c r="I56" s="6"/>
      <c r="J56" s="6"/>
      <c r="K56" s="6"/>
      <c r="L56" s="6"/>
      <c r="M56" s="7"/>
      <c r="N56" s="7"/>
      <c r="O56" s="7"/>
      <c r="P56" s="7"/>
      <c r="Q56" s="7"/>
    </row>
    <row r="57" spans="1:17" x14ac:dyDescent="0.45">
      <c r="B57" s="2" t="s">
        <v>15</v>
      </c>
      <c r="C57" s="28"/>
      <c r="D57" s="10">
        <f>D35</f>
        <v>0.3301</v>
      </c>
      <c r="E57" s="28"/>
      <c r="F57" s="8"/>
      <c r="G57" s="8"/>
      <c r="H57" s="28"/>
      <c r="I57" s="6"/>
      <c r="J57" s="6"/>
      <c r="K57" s="6"/>
      <c r="L57" s="6"/>
      <c r="M57" s="7"/>
      <c r="N57" s="7"/>
      <c r="O57" s="7"/>
      <c r="P57" s="7"/>
      <c r="Q57" s="7"/>
    </row>
    <row r="58" spans="1:17" x14ac:dyDescent="0.45">
      <c r="B58" s="3" t="s">
        <v>27</v>
      </c>
      <c r="C58" s="31"/>
      <c r="D58" s="20">
        <f>D56*D57</f>
        <v>920643.51087337616</v>
      </c>
      <c r="E58" s="31"/>
      <c r="F58" s="8"/>
      <c r="G58" s="8"/>
      <c r="H58" s="31"/>
      <c r="I58" s="6"/>
      <c r="J58" s="6"/>
      <c r="K58" s="6"/>
      <c r="L58" s="6"/>
      <c r="M58" s="7"/>
      <c r="N58" s="7"/>
      <c r="O58" s="7"/>
      <c r="P58" s="7"/>
      <c r="Q58" s="7"/>
    </row>
    <row r="59" spans="1:17" x14ac:dyDescent="0.45">
      <c r="B59" s="2" t="s">
        <v>77</v>
      </c>
      <c r="C59" s="28"/>
      <c r="D59" s="8">
        <f>-D50</f>
        <v>-95459.283881672716</v>
      </c>
      <c r="E59" s="28"/>
      <c r="F59" s="8"/>
      <c r="G59" s="8"/>
      <c r="H59" s="28"/>
      <c r="I59" s="6"/>
      <c r="J59" s="6"/>
      <c r="K59" s="6"/>
      <c r="L59" s="6"/>
      <c r="M59" s="7"/>
      <c r="N59" s="7"/>
      <c r="O59" s="7"/>
      <c r="P59" s="7"/>
      <c r="Q59" s="7"/>
    </row>
    <row r="60" spans="1:17" x14ac:dyDescent="0.45">
      <c r="B60" s="3" t="s">
        <v>40</v>
      </c>
      <c r="C60" s="31"/>
      <c r="D60" s="20">
        <f>SUM(D58:D59)</f>
        <v>825184.2269917035</v>
      </c>
      <c r="E60" s="31"/>
      <c r="F60" s="8"/>
      <c r="G60" s="8"/>
      <c r="H60" s="31"/>
      <c r="I60" s="6"/>
      <c r="J60" s="6"/>
      <c r="K60" s="6"/>
      <c r="L60" s="6"/>
      <c r="M60" s="7"/>
      <c r="N60" s="7"/>
      <c r="O60" s="7"/>
      <c r="P60" s="7"/>
      <c r="Q60" s="7"/>
    </row>
    <row r="61" spans="1:17" x14ac:dyDescent="0.45">
      <c r="A61" s="28"/>
      <c r="B61" s="28"/>
      <c r="C61" s="28"/>
      <c r="D61" s="29"/>
      <c r="E61" s="28"/>
      <c r="F61" s="29"/>
      <c r="G61" s="29"/>
      <c r="H61" s="28"/>
      <c r="I61" s="29"/>
      <c r="J61" s="29"/>
      <c r="K61" s="6"/>
      <c r="L61" s="6"/>
      <c r="M61" s="7"/>
      <c r="N61" s="7"/>
      <c r="O61" s="7"/>
      <c r="P61" s="7"/>
      <c r="Q61" s="7"/>
    </row>
    <row r="62" spans="1:17" x14ac:dyDescent="0.45">
      <c r="A62" s="28"/>
      <c r="B62" s="28"/>
      <c r="C62" s="28"/>
      <c r="D62" s="29"/>
      <c r="E62" s="28"/>
      <c r="F62" s="29"/>
      <c r="G62" s="29"/>
      <c r="H62" s="28"/>
      <c r="I62" s="29"/>
      <c r="J62" s="29"/>
      <c r="K62" s="6"/>
      <c r="L62" s="6"/>
      <c r="M62" s="7"/>
      <c r="N62" s="7"/>
      <c r="O62" s="7"/>
      <c r="P62" s="7"/>
      <c r="Q62" s="7"/>
    </row>
    <row r="63" spans="1:17" x14ac:dyDescent="0.45">
      <c r="A63" s="28"/>
      <c r="B63" s="28"/>
      <c r="C63" s="28"/>
      <c r="D63" s="29"/>
      <c r="E63" s="28"/>
      <c r="F63" s="29"/>
      <c r="G63" s="29"/>
      <c r="H63" s="28"/>
      <c r="I63" s="29"/>
      <c r="J63" s="29"/>
      <c r="K63" s="6"/>
      <c r="L63" s="6"/>
      <c r="M63" s="6"/>
      <c r="N63" s="6"/>
      <c r="O63" s="6"/>
      <c r="P63" s="6"/>
      <c r="Q63" s="6"/>
    </row>
    <row r="64" spans="1:17" x14ac:dyDescent="0.45">
      <c r="D64" s="2"/>
      <c r="E64" s="2"/>
      <c r="F64" s="2"/>
      <c r="G64" s="2"/>
      <c r="H64" s="2"/>
      <c r="I64" s="6"/>
      <c r="J64" s="6"/>
      <c r="K64" s="6"/>
      <c r="L64" s="6"/>
      <c r="M64" s="6"/>
      <c r="N64" s="6"/>
      <c r="O64" s="6"/>
      <c r="P64" s="6"/>
      <c r="Q64" s="6"/>
    </row>
    <row r="65" spans="4:17" x14ac:dyDescent="0.45">
      <c r="D65" s="2"/>
      <c r="E65" s="2"/>
      <c r="F65" s="2"/>
      <c r="G65" s="2"/>
      <c r="H65" s="2"/>
      <c r="I65" s="6"/>
      <c r="J65" s="6"/>
      <c r="K65" s="6"/>
      <c r="L65" s="6"/>
      <c r="M65" s="6"/>
      <c r="N65" s="6"/>
      <c r="O65" s="6"/>
      <c r="P65" s="6"/>
      <c r="Q65" s="6"/>
    </row>
    <row r="66" spans="4:17" x14ac:dyDescent="0.45">
      <c r="D66" s="8"/>
      <c r="E66" s="8"/>
      <c r="F66" s="8"/>
      <c r="G66" s="8"/>
      <c r="H66" s="8"/>
      <c r="I66" s="6"/>
      <c r="J66" s="6"/>
      <c r="K66" s="6"/>
      <c r="L66" s="6"/>
      <c r="M66" s="6"/>
      <c r="N66" s="6"/>
      <c r="O66" s="6"/>
      <c r="P66" s="6"/>
      <c r="Q66" s="6"/>
    </row>
    <row r="67" spans="4:17" x14ac:dyDescent="0.45">
      <c r="D67" s="8"/>
      <c r="E67" s="8"/>
      <c r="F67" s="8"/>
      <c r="G67" s="8"/>
      <c r="H67" s="8"/>
      <c r="I67" s="6"/>
      <c r="J67" s="6"/>
      <c r="K67" s="6"/>
      <c r="L67" s="6"/>
      <c r="M67" s="6"/>
      <c r="N67" s="6"/>
      <c r="O67" s="6"/>
      <c r="P67" s="6"/>
      <c r="Q67" s="6"/>
    </row>
    <row r="68" spans="4:17" x14ac:dyDescent="0.45">
      <c r="D68" s="8"/>
      <c r="E68" s="8"/>
      <c r="F68" s="8"/>
      <c r="G68" s="8"/>
      <c r="H68" s="8"/>
      <c r="I68" s="6"/>
      <c r="J68" s="6"/>
      <c r="K68" s="6"/>
      <c r="L68" s="6"/>
      <c r="M68" s="6"/>
      <c r="N68" s="6"/>
      <c r="O68" s="6"/>
      <c r="P68" s="6"/>
      <c r="Q68" s="6"/>
    </row>
    <row r="69" spans="4:17" x14ac:dyDescent="0.45">
      <c r="D69" s="8"/>
      <c r="E69" s="8"/>
      <c r="F69" s="8"/>
      <c r="G69" s="8"/>
      <c r="H69" s="8"/>
      <c r="I69" s="6"/>
      <c r="J69" s="6"/>
      <c r="K69" s="6"/>
      <c r="L69" s="6"/>
      <c r="M69" s="6"/>
      <c r="N69" s="6"/>
      <c r="O69" s="6"/>
      <c r="P69" s="6"/>
      <c r="Q69" s="6"/>
    </row>
    <row r="70" spans="4:17" x14ac:dyDescent="0.45">
      <c r="D70" s="8"/>
      <c r="E70" s="8"/>
      <c r="F70" s="8"/>
      <c r="G70" s="8"/>
      <c r="H70" s="8"/>
      <c r="I70" s="6"/>
      <c r="J70" s="6"/>
      <c r="K70" s="6"/>
      <c r="L70" s="6"/>
      <c r="M70" s="6"/>
      <c r="N70" s="6"/>
      <c r="O70" s="6"/>
      <c r="P70" s="6"/>
      <c r="Q70" s="6"/>
    </row>
    <row r="71" spans="4:17" x14ac:dyDescent="0.45">
      <c r="D71" s="8"/>
      <c r="E71" s="8"/>
      <c r="F71" s="8"/>
      <c r="G71" s="8"/>
      <c r="H71" s="8"/>
      <c r="I71" s="6"/>
      <c r="J71" s="6"/>
      <c r="K71" s="6"/>
      <c r="L71" s="6"/>
      <c r="M71" s="6"/>
      <c r="N71" s="6"/>
      <c r="O71" s="6"/>
      <c r="P71" s="6"/>
      <c r="Q71" s="6"/>
    </row>
    <row r="72" spans="4:17" x14ac:dyDescent="0.45">
      <c r="D72" s="8"/>
      <c r="E72" s="8"/>
      <c r="F72" s="8"/>
      <c r="G72" s="8"/>
      <c r="H72" s="8"/>
      <c r="I72" s="6"/>
      <c r="J72" s="6"/>
      <c r="K72" s="6"/>
      <c r="L72" s="6"/>
      <c r="M72" s="6"/>
      <c r="N72" s="6"/>
      <c r="O72" s="6"/>
      <c r="P72" s="6"/>
      <c r="Q72" s="6"/>
    </row>
    <row r="73" spans="4:17" x14ac:dyDescent="0.45">
      <c r="D73" s="8"/>
      <c r="E73" s="8"/>
      <c r="F73" s="8"/>
      <c r="G73" s="8"/>
      <c r="H73" s="8"/>
      <c r="I73" s="6"/>
      <c r="J73" s="6"/>
      <c r="K73" s="6"/>
      <c r="L73" s="6"/>
      <c r="M73" s="6"/>
      <c r="N73" s="6"/>
      <c r="O73" s="6"/>
      <c r="P73" s="6"/>
      <c r="Q73" s="6"/>
    </row>
    <row r="74" spans="4:17" x14ac:dyDescent="0.45">
      <c r="D74" s="8"/>
      <c r="E74" s="8"/>
      <c r="F74" s="8"/>
      <c r="G74" s="8"/>
      <c r="H74" s="8"/>
      <c r="I74" s="6"/>
      <c r="J74" s="6"/>
      <c r="K74" s="6"/>
      <c r="L74" s="6"/>
      <c r="M74" s="6"/>
      <c r="N74" s="6"/>
      <c r="O74" s="6"/>
      <c r="P74" s="6"/>
      <c r="Q74" s="6"/>
    </row>
    <row r="75" spans="4:17" x14ac:dyDescent="0.45">
      <c r="D75" s="8"/>
      <c r="E75" s="8"/>
      <c r="F75" s="8"/>
      <c r="G75" s="8"/>
      <c r="H75" s="8"/>
      <c r="I75" s="6"/>
      <c r="J75" s="6"/>
      <c r="K75" s="6"/>
      <c r="L75" s="6"/>
      <c r="M75" s="6"/>
      <c r="N75" s="6"/>
      <c r="O75" s="6"/>
      <c r="P75" s="6"/>
      <c r="Q75" s="6"/>
    </row>
    <row r="76" spans="4:17" x14ac:dyDescent="0.45">
      <c r="D76" s="8"/>
      <c r="E76" s="8"/>
      <c r="F76" s="8"/>
      <c r="G76" s="8"/>
      <c r="H76" s="8"/>
      <c r="I76" s="6"/>
      <c r="J76" s="6"/>
      <c r="K76" s="6"/>
      <c r="L76" s="6"/>
      <c r="M76" s="6"/>
      <c r="N76" s="6"/>
      <c r="O76" s="6"/>
      <c r="P76" s="6"/>
      <c r="Q76" s="6"/>
    </row>
    <row r="77" spans="4:17" x14ac:dyDescent="0.45">
      <c r="D77" s="8"/>
      <c r="E77" s="8"/>
      <c r="F77" s="8"/>
      <c r="G77" s="8"/>
      <c r="H77" s="8"/>
      <c r="I77" s="6"/>
      <c r="J77" s="6"/>
      <c r="K77" s="6"/>
      <c r="L77" s="6"/>
      <c r="M77" s="6"/>
      <c r="N77" s="6"/>
      <c r="O77" s="6"/>
      <c r="P77" s="6"/>
      <c r="Q77" s="6"/>
    </row>
    <row r="78" spans="4:17" x14ac:dyDescent="0.45">
      <c r="D78" s="8"/>
      <c r="E78" s="8"/>
      <c r="F78" s="8"/>
      <c r="G78" s="8"/>
      <c r="H78" s="8"/>
      <c r="I78" s="6"/>
      <c r="J78" s="6"/>
      <c r="K78" s="6"/>
      <c r="L78" s="6"/>
      <c r="M78" s="6"/>
      <c r="N78" s="6"/>
      <c r="O78" s="6"/>
      <c r="P78" s="6"/>
      <c r="Q78" s="6"/>
    </row>
    <row r="79" spans="4:17" x14ac:dyDescent="0.45">
      <c r="D79" s="8"/>
      <c r="E79" s="8"/>
      <c r="F79" s="8"/>
      <c r="G79" s="8"/>
      <c r="H79" s="8"/>
      <c r="I79" s="6"/>
      <c r="J79" s="6"/>
      <c r="K79" s="6"/>
      <c r="L79" s="6"/>
      <c r="M79" s="6"/>
      <c r="N79" s="6"/>
      <c r="O79" s="6"/>
      <c r="P79" s="6"/>
      <c r="Q79" s="6"/>
    </row>
    <row r="80" spans="4:17" x14ac:dyDescent="0.45">
      <c r="D80" s="8"/>
      <c r="E80" s="8"/>
      <c r="F80" s="8"/>
      <c r="G80" s="8"/>
      <c r="H80" s="8"/>
      <c r="I80" s="6"/>
      <c r="J80" s="6"/>
      <c r="K80" s="6"/>
      <c r="L80" s="6"/>
      <c r="M80" s="6"/>
      <c r="N80" s="6"/>
      <c r="O80" s="6"/>
      <c r="P80" s="6"/>
      <c r="Q80" s="6"/>
    </row>
    <row r="81" spans="4:17" x14ac:dyDescent="0.45">
      <c r="D81" s="8"/>
      <c r="E81" s="8"/>
      <c r="F81" s="8"/>
      <c r="G81" s="8"/>
      <c r="H81" s="8"/>
      <c r="I81" s="6"/>
      <c r="J81" s="6"/>
      <c r="K81" s="6"/>
      <c r="L81" s="6"/>
      <c r="M81" s="6"/>
      <c r="N81" s="6"/>
      <c r="O81" s="6"/>
      <c r="P81" s="6"/>
      <c r="Q81" s="6"/>
    </row>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B2184-A2BD-43BE-8FE4-879C3C8B43CD}">
  <dimension ref="A1:K29"/>
  <sheetViews>
    <sheetView zoomScale="124" zoomScaleNormal="124" workbookViewId="0">
      <selection activeCell="J10" sqref="J10"/>
    </sheetView>
  </sheetViews>
  <sheetFormatPr baseColWidth="10" defaultRowHeight="14.5" x14ac:dyDescent="0.35"/>
  <cols>
    <col min="1" max="3" width="12.90625" bestFit="1" customWidth="1"/>
  </cols>
  <sheetData>
    <row r="1" spans="1:11" x14ac:dyDescent="0.35">
      <c r="A1" t="s">
        <v>28</v>
      </c>
    </row>
    <row r="3" spans="1:11" x14ac:dyDescent="0.35">
      <c r="A3" s="34" t="s">
        <v>29</v>
      </c>
      <c r="B3" s="34">
        <v>2022</v>
      </c>
      <c r="C3" s="34"/>
      <c r="D3" s="34"/>
      <c r="F3" s="34" t="s">
        <v>52</v>
      </c>
      <c r="G3" s="34"/>
      <c r="H3" s="34"/>
    </row>
    <row r="4" spans="1:11" ht="16.5" x14ac:dyDescent="0.45">
      <c r="A4" s="13" t="s">
        <v>20</v>
      </c>
      <c r="B4" s="13" t="s">
        <v>30</v>
      </c>
      <c r="C4" s="13" t="s">
        <v>23</v>
      </c>
      <c r="D4" s="13" t="s">
        <v>31</v>
      </c>
      <c r="F4" s="13" t="s">
        <v>53</v>
      </c>
      <c r="G4" s="13" t="s">
        <v>54</v>
      </c>
      <c r="H4" s="13" t="s">
        <v>55</v>
      </c>
      <c r="J4" s="2" t="s">
        <v>4</v>
      </c>
      <c r="K4" s="2">
        <v>96.22</v>
      </c>
    </row>
    <row r="5" spans="1:11" ht="16.5" x14ac:dyDescent="0.45">
      <c r="A5">
        <v>0.01</v>
      </c>
      <c r="B5">
        <v>644.58000000000004</v>
      </c>
      <c r="C5">
        <v>0</v>
      </c>
      <c r="D5" s="14">
        <v>1.9199999999999998E-2</v>
      </c>
      <c r="F5">
        <v>1</v>
      </c>
      <c r="G5">
        <v>1</v>
      </c>
      <c r="H5">
        <v>6</v>
      </c>
      <c r="J5" s="2" t="s">
        <v>5</v>
      </c>
      <c r="K5" s="2">
        <v>172.87</v>
      </c>
    </row>
    <row r="6" spans="1:11" ht="16.5" x14ac:dyDescent="0.45">
      <c r="A6">
        <v>644.59</v>
      </c>
      <c r="B6" s="15">
        <v>5470.92</v>
      </c>
      <c r="C6">
        <v>12.38</v>
      </c>
      <c r="D6" s="14">
        <v>6.4000000000000001E-2</v>
      </c>
      <c r="F6">
        <v>2</v>
      </c>
      <c r="G6">
        <v>2</v>
      </c>
      <c r="H6">
        <v>8</v>
      </c>
      <c r="J6" s="2" t="s">
        <v>6</v>
      </c>
      <c r="K6" s="2">
        <v>260.33999999999997</v>
      </c>
    </row>
    <row r="7" spans="1:11" ht="16.5" x14ac:dyDescent="0.45">
      <c r="A7" s="15">
        <v>5470.93</v>
      </c>
      <c r="B7" s="15">
        <v>9614.66</v>
      </c>
      <c r="C7">
        <v>321.26</v>
      </c>
      <c r="D7" s="14">
        <v>0.10879999999999999</v>
      </c>
      <c r="F7">
        <v>3</v>
      </c>
      <c r="G7">
        <v>3</v>
      </c>
      <c r="H7">
        <v>10</v>
      </c>
      <c r="J7" s="2" t="s">
        <v>43</v>
      </c>
      <c r="K7" s="22">
        <v>0.3</v>
      </c>
    </row>
    <row r="8" spans="1:11" ht="16.5" x14ac:dyDescent="0.45">
      <c r="A8" s="15">
        <v>9614.67</v>
      </c>
      <c r="B8" s="15">
        <v>11176.62</v>
      </c>
      <c r="C8">
        <v>772.1</v>
      </c>
      <c r="D8" s="14">
        <v>0.16</v>
      </c>
      <c r="F8">
        <v>4</v>
      </c>
      <c r="G8">
        <v>4</v>
      </c>
      <c r="H8">
        <v>12</v>
      </c>
      <c r="J8" s="2" t="s">
        <v>44</v>
      </c>
      <c r="K8" s="22">
        <v>0.53</v>
      </c>
    </row>
    <row r="9" spans="1:11" x14ac:dyDescent="0.35">
      <c r="A9" s="15">
        <v>11176.63</v>
      </c>
      <c r="B9" s="15">
        <v>13381.47</v>
      </c>
      <c r="C9" s="15">
        <v>1022.01</v>
      </c>
      <c r="D9" s="14">
        <v>0.1792</v>
      </c>
      <c r="F9">
        <v>5</v>
      </c>
      <c r="G9">
        <v>9</v>
      </c>
      <c r="H9">
        <v>14</v>
      </c>
    </row>
    <row r="10" spans="1:11" x14ac:dyDescent="0.35">
      <c r="A10" s="15">
        <v>13381.48</v>
      </c>
      <c r="B10" s="15">
        <v>26988.5</v>
      </c>
      <c r="C10" s="15">
        <v>1417.12</v>
      </c>
      <c r="D10" s="14">
        <v>0.21360000000000001</v>
      </c>
      <c r="F10">
        <v>10</v>
      </c>
      <c r="G10">
        <v>14</v>
      </c>
      <c r="H10">
        <v>16</v>
      </c>
    </row>
    <row r="11" spans="1:11" x14ac:dyDescent="0.35">
      <c r="A11" s="15">
        <v>26988.51</v>
      </c>
      <c r="B11" s="15">
        <v>42537.58</v>
      </c>
      <c r="C11" s="15">
        <v>4323.58</v>
      </c>
      <c r="D11" s="14">
        <v>0.23519999999999999</v>
      </c>
      <c r="F11">
        <v>15</v>
      </c>
      <c r="G11">
        <v>19</v>
      </c>
      <c r="H11">
        <v>18</v>
      </c>
    </row>
    <row r="12" spans="1:11" x14ac:dyDescent="0.35">
      <c r="A12" s="15">
        <v>42537.59</v>
      </c>
      <c r="B12" s="15">
        <v>81211.25</v>
      </c>
      <c r="C12" s="15">
        <v>7980.73</v>
      </c>
      <c r="D12" s="14">
        <v>0.3</v>
      </c>
      <c r="F12">
        <v>20</v>
      </c>
      <c r="G12">
        <v>24</v>
      </c>
      <c r="H12">
        <v>20</v>
      </c>
    </row>
    <row r="13" spans="1:11" x14ac:dyDescent="0.35">
      <c r="A13" s="15">
        <v>81211.259999999995</v>
      </c>
      <c r="B13" s="15">
        <v>108281.67</v>
      </c>
      <c r="C13" s="15">
        <v>19582.830000000002</v>
      </c>
      <c r="D13" s="14">
        <v>0.32</v>
      </c>
      <c r="F13">
        <v>25</v>
      </c>
      <c r="G13" t="s">
        <v>34</v>
      </c>
      <c r="H13">
        <v>22</v>
      </c>
    </row>
    <row r="14" spans="1:11" x14ac:dyDescent="0.35">
      <c r="A14" s="15">
        <v>108281.68</v>
      </c>
      <c r="B14" s="15">
        <v>324845.01</v>
      </c>
      <c r="C14" s="15">
        <v>28245.360000000001</v>
      </c>
      <c r="D14" s="14">
        <v>0.34</v>
      </c>
    </row>
    <row r="15" spans="1:11" x14ac:dyDescent="0.35">
      <c r="A15" s="15">
        <v>324845.02</v>
      </c>
      <c r="B15" t="s">
        <v>32</v>
      </c>
      <c r="C15" s="15">
        <v>101876.9</v>
      </c>
      <c r="D15" s="14">
        <v>0.35</v>
      </c>
    </row>
    <row r="17" spans="1:4" x14ac:dyDescent="0.35">
      <c r="A17" s="12" t="s">
        <v>33</v>
      </c>
      <c r="B17" s="12">
        <v>2022</v>
      </c>
      <c r="C17" s="12"/>
      <c r="D17" s="12"/>
    </row>
    <row r="18" spans="1:4" x14ac:dyDescent="0.35">
      <c r="A18" s="13" t="s">
        <v>20</v>
      </c>
      <c r="B18" s="13" t="s">
        <v>30</v>
      </c>
      <c r="C18" s="13" t="s">
        <v>23</v>
      </c>
      <c r="D18" s="13" t="s">
        <v>31</v>
      </c>
    </row>
    <row r="19" spans="1:4" x14ac:dyDescent="0.35">
      <c r="A19" s="16">
        <v>0.01</v>
      </c>
      <c r="B19" s="16">
        <v>7735</v>
      </c>
      <c r="C19" s="16">
        <v>0</v>
      </c>
      <c r="D19" s="14">
        <v>1.9199999999999998E-2</v>
      </c>
    </row>
    <row r="20" spans="1:4" x14ac:dyDescent="0.35">
      <c r="A20" s="16">
        <v>7735.01</v>
      </c>
      <c r="B20" s="16">
        <v>65651.070000000007</v>
      </c>
      <c r="C20" s="16">
        <v>148.51</v>
      </c>
      <c r="D20" s="14">
        <v>6.4000000000000001E-2</v>
      </c>
    </row>
    <row r="21" spans="1:4" x14ac:dyDescent="0.35">
      <c r="A21" s="16">
        <v>65651.08</v>
      </c>
      <c r="B21" s="16">
        <v>115375.9</v>
      </c>
      <c r="C21" s="16">
        <v>3855.14</v>
      </c>
      <c r="D21" s="14">
        <v>0.10879999999999999</v>
      </c>
    </row>
    <row r="22" spans="1:4" x14ac:dyDescent="0.35">
      <c r="A22" s="16">
        <v>115376.91</v>
      </c>
      <c r="B22" s="16">
        <v>134119.41</v>
      </c>
      <c r="C22" s="16">
        <v>9265.2000000000007</v>
      </c>
      <c r="D22" s="14">
        <v>0.16</v>
      </c>
    </row>
    <row r="23" spans="1:4" x14ac:dyDescent="0.35">
      <c r="A23" s="16">
        <v>134119.42000000001</v>
      </c>
      <c r="B23" s="16">
        <v>160577.65</v>
      </c>
      <c r="C23" s="16">
        <v>12264.16</v>
      </c>
      <c r="D23" s="14">
        <v>0.1792</v>
      </c>
    </row>
    <row r="24" spans="1:4" x14ac:dyDescent="0.35">
      <c r="A24" s="16">
        <v>160577.76</v>
      </c>
      <c r="B24" s="16">
        <v>323862</v>
      </c>
      <c r="C24" s="16">
        <v>17005.47</v>
      </c>
      <c r="D24" s="14">
        <v>0.21360000000000001</v>
      </c>
    </row>
    <row r="25" spans="1:4" x14ac:dyDescent="0.35">
      <c r="A25" s="16">
        <v>323862.01</v>
      </c>
      <c r="B25" s="16">
        <v>510451</v>
      </c>
      <c r="C25" s="16">
        <v>51883.01</v>
      </c>
      <c r="D25" s="14">
        <v>0.23519999999999999</v>
      </c>
    </row>
    <row r="26" spans="1:4" x14ac:dyDescent="0.35">
      <c r="A26" s="16">
        <v>510451.01</v>
      </c>
      <c r="B26" s="16">
        <v>974535.03</v>
      </c>
      <c r="C26" s="16">
        <v>95768.74</v>
      </c>
      <c r="D26" s="14">
        <v>0.3</v>
      </c>
    </row>
    <row r="27" spans="1:4" x14ac:dyDescent="0.35">
      <c r="A27" s="16">
        <v>974535.04</v>
      </c>
      <c r="B27" s="16">
        <v>1299380.04</v>
      </c>
      <c r="C27" s="16">
        <v>234993.95</v>
      </c>
      <c r="D27" s="14">
        <v>0.32</v>
      </c>
    </row>
    <row r="28" spans="1:4" x14ac:dyDescent="0.35">
      <c r="A28" s="16">
        <v>1299380.05</v>
      </c>
      <c r="B28" s="16">
        <v>3898140.12</v>
      </c>
      <c r="C28" s="16">
        <v>338944.32</v>
      </c>
      <c r="D28" s="14">
        <v>0.34</v>
      </c>
    </row>
    <row r="29" spans="1:4" x14ac:dyDescent="0.35">
      <c r="A29" s="16">
        <v>3898140.13</v>
      </c>
      <c r="B29" s="16" t="s">
        <v>34</v>
      </c>
      <c r="C29" s="16">
        <v>1222522.76</v>
      </c>
      <c r="D29" s="14">
        <v>0.35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18</vt:i4>
      </vt:variant>
    </vt:vector>
  </HeadingPairs>
  <TitlesOfParts>
    <vt:vector size="22" baseType="lpstr">
      <vt:lpstr>TERMINACION</vt:lpstr>
      <vt:lpstr>PENSIONES</vt:lpstr>
      <vt:lpstr>PAGO UNICO</vt:lpstr>
      <vt:lpstr>PARAMETROS</vt:lpstr>
      <vt:lpstr>'PAGO UNICO'!DEDUC</vt:lpstr>
      <vt:lpstr>PENSIONES!DEDUC</vt:lpstr>
      <vt:lpstr>DEDUC</vt:lpstr>
      <vt:lpstr>'PAGO UNICO'!SMF</vt:lpstr>
      <vt:lpstr>PENSIONES!SMF</vt:lpstr>
      <vt:lpstr>SMF</vt:lpstr>
      <vt:lpstr>'PAGO UNICO'!SMG</vt:lpstr>
      <vt:lpstr>PENSIONES!SMG</vt:lpstr>
      <vt:lpstr>SMG</vt:lpstr>
      <vt:lpstr>Tb_Imp</vt:lpstr>
      <vt:lpstr>Tb_ImpAnual</vt:lpstr>
      <vt:lpstr>Tb_Vac</vt:lpstr>
      <vt:lpstr>'PAGO UNICO'!TIMP</vt:lpstr>
      <vt:lpstr>PENSIONES!TIMP</vt:lpstr>
      <vt:lpstr>TIMP</vt:lpstr>
      <vt:lpstr>'PAGO UNICO'!UMA</vt:lpstr>
      <vt:lpstr>PENSIONES!UMA</vt:lpstr>
      <vt:lpstr>UMA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Alfredo Alfaro</dc:creator>
  <cp:lastModifiedBy>Alfredo Alfaro</cp:lastModifiedBy>
  <dcterms:created xsi:type="dcterms:W3CDTF">2022-05-04T20:04:27Z</dcterms:created>
  <dcterms:modified xsi:type="dcterms:W3CDTF">2022-05-06T18:00:08Z</dcterms:modified>
</cp:coreProperties>
</file>