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adca667f02e279/Certificación Pasivos Laborales/2022/Cálculo Actuarial/Probabilidades/Sesión 13/"/>
    </mc:Choice>
  </mc:AlternateContent>
  <xr:revisionPtr revIDLastSave="0" documentId="8_{5198BE3C-03E7-4605-AAA8-7B92E47B04BF}" xr6:coauthVersionLast="47" xr6:coauthVersionMax="47" xr10:uidLastSave="{00000000-0000-0000-0000-000000000000}"/>
  <bookViews>
    <workbookView xWindow="-108" yWindow="-108" windowWidth="23256" windowHeight="12456" activeTab="2" xr2:uid="{56697B4A-3626-4A4F-89F1-D27CB9A151FD}"/>
  </bookViews>
  <sheets>
    <sheet name="Datos " sheetId="1" r:id="rId1"/>
    <sheet name="Decrementos" sheetId="2" r:id="rId2"/>
    <sheet name="Calculo actuarial" sheetId="3" r:id="rId3"/>
  </sheets>
  <definedNames>
    <definedName name="qxi">Decrementos!$F$9:$F$59</definedName>
    <definedName name="qxm">Decrementos!$E$9:$E$59</definedName>
    <definedName name="qxr">Decrementos!$H$9:$H$59</definedName>
    <definedName name="qxw">Decrementos!$G$9:$G$59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3" l="1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39" i="3"/>
  <c r="S38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39" i="3"/>
  <c r="R38" i="3"/>
  <c r="Q40" i="3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39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32" i="3"/>
  <c r="M31" i="3"/>
  <c r="L34" i="3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33" i="3"/>
  <c r="L3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1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E3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1" i="3"/>
  <c r="D11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C34" i="3"/>
  <c r="C33" i="3" s="1"/>
  <c r="C32" i="3" s="1"/>
  <c r="C31" i="3" s="1"/>
  <c r="C30" i="3" s="1"/>
  <c r="C29" i="3" s="1"/>
  <c r="C28" i="3" s="1"/>
  <c r="C27" i="3" s="1"/>
  <c r="C26" i="3" s="1"/>
  <c r="C25" i="3" s="1"/>
  <c r="C24" i="3" s="1"/>
  <c r="C23" i="3" s="1"/>
  <c r="C22" i="3" s="1"/>
  <c r="C21" i="3" s="1"/>
  <c r="C20" i="3" s="1"/>
  <c r="C19" i="3" s="1"/>
  <c r="C18" i="3" s="1"/>
  <c r="C17" i="3" s="1"/>
  <c r="C16" i="3" s="1"/>
  <c r="C15" i="3" s="1"/>
  <c r="C14" i="3" s="1"/>
  <c r="C13" i="3" s="1"/>
  <c r="C12" i="3" s="1"/>
  <c r="C11" i="3" s="1"/>
  <c r="C35" i="3"/>
  <c r="C43" i="3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42" i="3"/>
  <c r="C38" i="3"/>
  <c r="C39" i="3" s="1"/>
  <c r="C40" i="3" s="1"/>
  <c r="C41" i="3" s="1"/>
  <c r="C37" i="3"/>
  <c r="M9" i="2" a="1"/>
  <c r="M9" i="2" s="1"/>
  <c r="L9" i="2" a="1"/>
  <c r="L9" i="2" s="1"/>
  <c r="K9" i="2" a="1"/>
  <c r="K9" i="2" s="1"/>
  <c r="J9" i="2" a="1"/>
  <c r="J9" i="2" s="1"/>
  <c r="G11" i="1"/>
  <c r="E3" i="3"/>
  <c r="E4" i="3" s="1"/>
  <c r="E2" i="3"/>
  <c r="N9" i="2" l="1"/>
  <c r="O9" i="2" s="1"/>
  <c r="N50" i="2"/>
  <c r="O50" i="2" s="1"/>
  <c r="N42" i="2"/>
  <c r="O42" i="2" s="1"/>
  <c r="N34" i="2"/>
  <c r="O34" i="2" s="1"/>
  <c r="N26" i="2"/>
  <c r="O26" i="2" s="1"/>
  <c r="N18" i="2"/>
  <c r="O18" i="2" s="1"/>
  <c r="N10" i="2"/>
  <c r="O10" i="2" s="1"/>
  <c r="N28" i="2"/>
  <c r="O28" i="2" s="1"/>
  <c r="N35" i="2"/>
  <c r="O35" i="2" s="1"/>
  <c r="N19" i="2"/>
  <c r="O19" i="2" s="1"/>
  <c r="N49" i="2"/>
  <c r="O49" i="2" s="1"/>
  <c r="N41" i="2"/>
  <c r="O41" i="2" s="1"/>
  <c r="N33" i="2"/>
  <c r="O33" i="2" s="1"/>
  <c r="N25" i="2"/>
  <c r="O25" i="2" s="1"/>
  <c r="N17" i="2"/>
  <c r="O17" i="2" s="1"/>
  <c r="N52" i="2"/>
  <c r="O52" i="2" s="1"/>
  <c r="N20" i="2"/>
  <c r="O20" i="2" s="1"/>
  <c r="N48" i="2"/>
  <c r="O48" i="2" s="1"/>
  <c r="N40" i="2"/>
  <c r="O40" i="2" s="1"/>
  <c r="N32" i="2"/>
  <c r="O32" i="2" s="1"/>
  <c r="N24" i="2"/>
  <c r="O24" i="2" s="1"/>
  <c r="N16" i="2"/>
  <c r="O16" i="2" s="1"/>
  <c r="N47" i="2"/>
  <c r="O47" i="2" s="1"/>
  <c r="N39" i="2"/>
  <c r="O39" i="2" s="1"/>
  <c r="N31" i="2"/>
  <c r="O31" i="2" s="1"/>
  <c r="N23" i="2"/>
  <c r="O23" i="2" s="1"/>
  <c r="N15" i="2"/>
  <c r="O15" i="2" s="1"/>
  <c r="N54" i="2"/>
  <c r="O54" i="2" s="1"/>
  <c r="N46" i="2"/>
  <c r="O46" i="2" s="1"/>
  <c r="N38" i="2"/>
  <c r="O38" i="2" s="1"/>
  <c r="N30" i="2"/>
  <c r="O30" i="2" s="1"/>
  <c r="N22" i="2"/>
  <c r="O22" i="2" s="1"/>
  <c r="N14" i="2"/>
  <c r="O14" i="2" s="1"/>
  <c r="N44" i="2"/>
  <c r="O44" i="2" s="1"/>
  <c r="N12" i="2"/>
  <c r="O12" i="2" s="1"/>
  <c r="N51" i="2"/>
  <c r="O51" i="2" s="1"/>
  <c r="N27" i="2"/>
  <c r="O27" i="2" s="1"/>
  <c r="N53" i="2"/>
  <c r="O53" i="2" s="1"/>
  <c r="N45" i="2"/>
  <c r="O45" i="2" s="1"/>
  <c r="N37" i="2"/>
  <c r="O37" i="2" s="1"/>
  <c r="N29" i="2"/>
  <c r="O29" i="2" s="1"/>
  <c r="N21" i="2"/>
  <c r="O21" i="2" s="1"/>
  <c r="N13" i="2"/>
  <c r="O13" i="2" s="1"/>
  <c r="N36" i="2"/>
  <c r="O36" i="2" s="1"/>
  <c r="N43" i="2"/>
  <c r="O43" i="2" s="1"/>
  <c r="N11" i="2"/>
  <c r="O11" i="2" s="1"/>
  <c r="N6" i="3" l="1"/>
  <c r="S6" i="3"/>
  <c r="N4" i="3" l="1"/>
  <c r="N3" i="3"/>
  <c r="Q3" i="3" s="1"/>
  <c r="Q6" i="3"/>
  <c r="U6" i="3" s="1"/>
  <c r="Q4" i="3"/>
  <c r="U4" i="3" s="1"/>
  <c r="Y4" i="3" s="1"/>
  <c r="S3" i="3"/>
  <c r="U3" i="3" l="1"/>
  <c r="Y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<sst xmlns="http://schemas.openxmlformats.org/spreadsheetml/2006/main" count="103" uniqueCount="71">
  <si>
    <t>Mortalidad</t>
  </si>
  <si>
    <t>Edad</t>
  </si>
  <si>
    <t>Invalidez</t>
  </si>
  <si>
    <t>Rotación</t>
  </si>
  <si>
    <t>Retiro</t>
  </si>
  <si>
    <t>Tabla de</t>
  </si>
  <si>
    <t>qx(w)</t>
  </si>
  <si>
    <t>qx(m)</t>
  </si>
  <si>
    <t>qx(r)</t>
  </si>
  <si>
    <t>q´x(m)</t>
  </si>
  <si>
    <t>q´x(r)</t>
  </si>
  <si>
    <t>q´x(w)</t>
  </si>
  <si>
    <t>Probabilidad</t>
  </si>
  <si>
    <t>Muerte</t>
  </si>
  <si>
    <t>qx(T)</t>
  </si>
  <si>
    <t>px(T)</t>
  </si>
  <si>
    <t>Activos</t>
  </si>
  <si>
    <t>Jubilados</t>
  </si>
  <si>
    <t>Tenemos la siguiente demografía</t>
  </si>
  <si>
    <t>Edad actual</t>
  </si>
  <si>
    <t>Años de servicios</t>
  </si>
  <si>
    <t>Edad normal de Retiro</t>
  </si>
  <si>
    <t>60 años de edad, con al menos 10 años de servicio</t>
  </si>
  <si>
    <t>Personal participante</t>
  </si>
  <si>
    <t>Activo: 100 empleados</t>
  </si>
  <si>
    <t>Jubilados: 1 Jubilado</t>
  </si>
  <si>
    <t>Activo:40 años</t>
  </si>
  <si>
    <t>Jubilado: 67 años de edad</t>
  </si>
  <si>
    <t>a pesos del 2022</t>
  </si>
  <si>
    <t>Tasa de descuento</t>
  </si>
  <si>
    <t>6% anual</t>
  </si>
  <si>
    <t>8.5% anual</t>
  </si>
  <si>
    <t xml:space="preserve">Gasto </t>
  </si>
  <si>
    <t>Médico</t>
  </si>
  <si>
    <t>A partir de los 70 años de edad solamente se incrementará por Inflación Médica</t>
  </si>
  <si>
    <t>x</t>
  </si>
  <si>
    <t xml:space="preserve">y = </t>
  </si>
  <si>
    <t>x =</t>
  </si>
  <si>
    <t>rn =</t>
  </si>
  <si>
    <t>Inflación</t>
  </si>
  <si>
    <t>Médica</t>
  </si>
  <si>
    <t>Pago</t>
  </si>
  <si>
    <t>tPx(T)</t>
  </si>
  <si>
    <t>Vt</t>
  </si>
  <si>
    <t>px(m)</t>
  </si>
  <si>
    <t>tpx</t>
  </si>
  <si>
    <t>B(r)</t>
  </si>
  <si>
    <t xml:space="preserve">VPOT (x) </t>
  </si>
  <si>
    <t>OBD =</t>
  </si>
  <si>
    <t>CL =</t>
  </si>
  <si>
    <t>Empleados</t>
  </si>
  <si>
    <t>VPOT =</t>
  </si>
  <si>
    <t>CL</t>
  </si>
  <si>
    <t>CF</t>
  </si>
  <si>
    <t>+</t>
  </si>
  <si>
    <t>=</t>
  </si>
  <si>
    <t>CNP 2022</t>
  </si>
  <si>
    <t xml:space="preserve">VPOT (J) </t>
  </si>
  <si>
    <t>Total</t>
  </si>
  <si>
    <t>Gasto</t>
  </si>
  <si>
    <t xml:space="preserve">La compañía petrolera "La esperanza de México" otorga una continuación del seguro de Gastos Médicos Mayores a su personal jubilado, derivado a una auditoría llevada por un despacho de contadores se percataron que no cuentan con un estudio actuarial que respalde la provisión creada desde hace más de 7 años, por lo que le llaman a su actuario para que les ayude a determinar el pasivo a registrar en sus estados financieros al 31 de diciembre de 2021 y la provisión durante el año 2022. </t>
  </si>
  <si>
    <t>Prima Anual</t>
  </si>
  <si>
    <t>Jubilado</t>
  </si>
  <si>
    <t>Activo</t>
  </si>
  <si>
    <t>Ejercicio Gasto Médico a Jubilados</t>
  </si>
  <si>
    <t>Supuesto de Inflación médica</t>
  </si>
  <si>
    <t>sp =</t>
  </si>
  <si>
    <t>sf=</t>
  </si>
  <si>
    <t>st=</t>
  </si>
  <si>
    <t>q´x(i)</t>
  </si>
  <si>
    <t>qx(i)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</si>
</sst>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_-* #,##0.00000_-;\-* #,##0.00000_-;_-* &quot;-&quot;??_-;_-@_-"/>
    <numFmt numFmtId="168" formatCode="_-* #,##0.000000_-;\-* #,##0.000000_-;_-* &quot;-&quot;??_-;_-@_-"/>
    <numFmt numFmtId="169" formatCode="0.00000"/>
    <numFmt numFmtId="170" formatCode="_-* #,##0_-;\-* #,##0_-;_-* &quot;-&quot;??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0" applyNumberFormat="1"/>
    <xf numFmtId="168" fontId="0" fillId="0" borderId="0" xfId="1" applyNumberFormat="1" applyFont="1"/>
    <xf numFmtId="168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7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2" xfId="0" applyFont="1" applyFill="1" applyBorder="1" applyAlignment="1">
      <alignment horizontal="right"/>
    </xf>
    <xf numFmtId="0" fontId="0" fillId="0" borderId="0" xfId="0" applyAlignment="1">
      <alignment horizontal="centerContinuous"/>
    </xf>
    <xf numFmtId="165" fontId="0" fillId="0" borderId="0" xfId="0" applyNumberFormat="1"/>
    <xf numFmtId="166" fontId="0" fillId="0" borderId="0" xfId="0" applyNumberFormat="1"/>
    <xf numFmtId="169" fontId="0" fillId="0" borderId="0" xfId="0" applyNumberFormat="1"/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wrapText="1"/>
    </xf>
    <xf numFmtId="2" fontId="0" fillId="0" borderId="0" xfId="0" applyNumberFormat="1"/>
    <xf numFmtId="170" fontId="0" fillId="0" borderId="0" xfId="0" applyNumberFormat="1"/>
    <xf numFmtId="43" fontId="0" fillId="0" borderId="2" xfId="0" applyNumberFormat="1" applyBorder="1"/>
    <xf numFmtId="168" fontId="2" fillId="0" borderId="2" xfId="1" applyNumberFormat="1" applyFont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0" fillId="0" borderId="0" xfId="0" applyNumberFormat="1" applyAlignment="1">
      <alignment horizontal="center"/>
    </xf>
    <xf numFmtId="168" fontId="2" fillId="0" borderId="2" xfId="1" applyNumberFormat="1" applyFont="1" applyFill="1" applyBorder="1" applyAlignment="1">
      <alignment horizontal="right"/>
    </xf>
    <xf numFmtId="43" fontId="0" fillId="0" borderId="0" xfId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43" fontId="2" fillId="0" borderId="0" xfId="1" applyNumberFormat="1" applyFont="1" applyAlignment="1">
      <alignment horizontal="centerContinuous"/>
    </xf>
    <xf numFmtId="168" fontId="0" fillId="0" borderId="0" xfId="1" applyNumberFormat="1" applyFont="1" applyAlignment="1">
      <alignment horizontal="centerContinuous"/>
    </xf>
    <xf numFmtId="168" fontId="0" fillId="2" borderId="0" xfId="1" applyNumberFormat="1" applyFont="1" applyFill="1"/>
    <xf numFmtId="0" fontId="5" fillId="0" borderId="0" xfId="0" applyFont="1"/>
    <xf numFmtId="43" fontId="0" fillId="3" borderId="0" xfId="0" applyNumberFormat="1" applyFill="1"/>
    <xf numFmtId="169" fontId="0" fillId="3" borderId="0" xfId="0" applyNumberFormat="1" applyFill="1"/>
    <xf numFmtId="43" fontId="0" fillId="4" borderId="0" xfId="1" applyFont="1" applyFill="1"/>
    <xf numFmtId="169" fontId="0" fillId="5" borderId="0" xfId="0" applyNumberFormat="1" applyFill="1"/>
    <xf numFmtId="43" fontId="0" fillId="5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2E0A-4BEB-4823-8D54-15AAE1E43692}">
  <dimension ref="B2:L26"/>
  <sheetViews>
    <sheetView showGridLines="0" topLeftCell="A4" zoomScaleNormal="100" workbookViewId="0">
      <selection activeCell="G11" sqref="G11"/>
    </sheetView>
  </sheetViews>
  <sheetFormatPr baseColWidth="10" defaultRowHeight="15.6" x14ac:dyDescent="0.3"/>
  <cols>
    <col min="1" max="1" width="3.6640625" customWidth="1"/>
    <col min="2" max="2" width="129.5546875" style="28" customWidth="1"/>
    <col min="5" max="5" width="31.88671875" customWidth="1"/>
    <col min="6" max="6" width="5.6640625" customWidth="1"/>
  </cols>
  <sheetData>
    <row r="2" spans="2:12" ht="23.4" x14ac:dyDescent="0.45">
      <c r="B2" s="56" t="s">
        <v>64</v>
      </c>
    </row>
    <row r="4" spans="2:12" ht="62.4" x14ac:dyDescent="0.3">
      <c r="B4" s="27" t="s">
        <v>60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2:12" x14ac:dyDescent="0.3">
      <c r="B6" s="28" t="s">
        <v>18</v>
      </c>
    </row>
    <row r="8" spans="2:12" x14ac:dyDescent="0.3">
      <c r="B8" s="29" t="s">
        <v>23</v>
      </c>
      <c r="D8" s="32"/>
      <c r="E8" s="33" t="s">
        <v>61</v>
      </c>
    </row>
    <row r="9" spans="2:12" x14ac:dyDescent="0.3">
      <c r="B9" s="30" t="s">
        <v>24</v>
      </c>
      <c r="D9" s="34" t="s">
        <v>1</v>
      </c>
      <c r="E9" s="35" t="s">
        <v>28</v>
      </c>
    </row>
    <row r="10" spans="2:12" x14ac:dyDescent="0.3">
      <c r="B10" s="28" t="s">
        <v>25</v>
      </c>
      <c r="D10" s="36">
        <v>60</v>
      </c>
      <c r="E10" s="37">
        <v>158500</v>
      </c>
    </row>
    <row r="11" spans="2:12" x14ac:dyDescent="0.3">
      <c r="D11" s="38">
        <v>65</v>
      </c>
      <c r="E11" s="39">
        <v>166000</v>
      </c>
      <c r="F11" s="24"/>
      <c r="G11" s="42">
        <f>(E11/E10)^(1/5)</f>
        <v>1.0092895212445916</v>
      </c>
    </row>
    <row r="12" spans="2:12" ht="47.4" thickBot="1" x14ac:dyDescent="0.35">
      <c r="B12" s="29" t="s">
        <v>19</v>
      </c>
      <c r="D12" s="40">
        <v>70</v>
      </c>
      <c r="E12" s="41" t="s">
        <v>34</v>
      </c>
      <c r="F12" s="4"/>
    </row>
    <row r="13" spans="2:12" x14ac:dyDescent="0.3">
      <c r="B13" s="28" t="s">
        <v>26</v>
      </c>
    </row>
    <row r="14" spans="2:12" x14ac:dyDescent="0.3">
      <c r="B14" s="28" t="s">
        <v>27</v>
      </c>
    </row>
    <row r="16" spans="2:12" x14ac:dyDescent="0.3">
      <c r="B16" s="29" t="s">
        <v>20</v>
      </c>
    </row>
    <row r="17" spans="2:2" x14ac:dyDescent="0.3">
      <c r="B17" s="30">
        <v>15</v>
      </c>
    </row>
    <row r="19" spans="2:2" x14ac:dyDescent="0.3">
      <c r="B19" s="29" t="s">
        <v>21</v>
      </c>
    </row>
    <row r="20" spans="2:2" x14ac:dyDescent="0.3">
      <c r="B20" s="28" t="s">
        <v>22</v>
      </c>
    </row>
    <row r="22" spans="2:2" x14ac:dyDescent="0.3">
      <c r="B22" s="29" t="s">
        <v>29</v>
      </c>
    </row>
    <row r="23" spans="2:2" x14ac:dyDescent="0.3">
      <c r="B23" s="31" t="s">
        <v>31</v>
      </c>
    </row>
    <row r="25" spans="2:2" x14ac:dyDescent="0.3">
      <c r="B25" s="29" t="s">
        <v>65</v>
      </c>
    </row>
    <row r="26" spans="2:2" x14ac:dyDescent="0.3">
      <c r="B26" s="28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A5B0-03A4-49A8-BD56-18633BB533AC}">
  <dimension ref="B4:O104"/>
  <sheetViews>
    <sheetView showGridLines="0" topLeftCell="A80" workbookViewId="0">
      <selection activeCell="O9" sqref="O9"/>
    </sheetView>
  </sheetViews>
  <sheetFormatPr baseColWidth="10" defaultRowHeight="14.4" x14ac:dyDescent="0.3"/>
  <cols>
    <col min="1" max="1" width="5" customWidth="1"/>
    <col min="2" max="3" width="11.5546875" style="6"/>
    <col min="4" max="4" width="3.21875" style="6" customWidth="1"/>
    <col min="9" max="9" width="5.44140625" customWidth="1"/>
    <col min="10" max="13" width="11.6640625" bestFit="1" customWidth="1"/>
  </cols>
  <sheetData>
    <row r="4" spans="2:15" x14ac:dyDescent="0.3">
      <c r="G4">
        <v>3</v>
      </c>
    </row>
    <row r="5" spans="2:15" x14ac:dyDescent="0.3">
      <c r="C5" s="9" t="s">
        <v>17</v>
      </c>
      <c r="D5" s="9"/>
      <c r="E5" s="9" t="s">
        <v>16</v>
      </c>
    </row>
    <row r="6" spans="2:15" x14ac:dyDescent="0.3">
      <c r="C6" s="7" t="s">
        <v>9</v>
      </c>
      <c r="D6" s="9"/>
      <c r="E6" s="7" t="s">
        <v>9</v>
      </c>
      <c r="F6" s="7" t="s">
        <v>69</v>
      </c>
      <c r="G6" s="7" t="s">
        <v>11</v>
      </c>
      <c r="H6" s="7" t="s">
        <v>10</v>
      </c>
      <c r="I6" s="7"/>
      <c r="J6" s="7" t="s">
        <v>7</v>
      </c>
      <c r="K6" s="7" t="s">
        <v>70</v>
      </c>
      <c r="L6" s="7" t="s">
        <v>6</v>
      </c>
      <c r="M6" s="7" t="s">
        <v>8</v>
      </c>
    </row>
    <row r="7" spans="2:15" x14ac:dyDescent="0.3">
      <c r="B7" s="13"/>
      <c r="C7" s="14" t="s">
        <v>5</v>
      </c>
      <c r="D7" s="9"/>
      <c r="E7" s="14" t="s">
        <v>5</v>
      </c>
      <c r="F7" s="14" t="s">
        <v>5</v>
      </c>
      <c r="G7" s="14" t="s">
        <v>5</v>
      </c>
      <c r="H7" s="13" t="s">
        <v>5</v>
      </c>
      <c r="I7" s="7"/>
      <c r="J7" s="20" t="s">
        <v>12</v>
      </c>
      <c r="K7" s="20" t="s">
        <v>12</v>
      </c>
      <c r="L7" s="20" t="s">
        <v>12</v>
      </c>
      <c r="M7" s="20" t="s">
        <v>12</v>
      </c>
      <c r="N7" s="20"/>
      <c r="O7" s="20"/>
    </row>
    <row r="8" spans="2:15" ht="15" thickBot="1" x14ac:dyDescent="0.35">
      <c r="B8" s="15" t="s">
        <v>1</v>
      </c>
      <c r="C8" s="16" t="s">
        <v>0</v>
      </c>
      <c r="D8" s="9"/>
      <c r="E8" s="16" t="s">
        <v>0</v>
      </c>
      <c r="F8" s="16" t="s">
        <v>2</v>
      </c>
      <c r="G8" s="16" t="s">
        <v>3</v>
      </c>
      <c r="H8" s="15" t="s">
        <v>4</v>
      </c>
      <c r="I8" s="7"/>
      <c r="J8" s="22" t="s">
        <v>13</v>
      </c>
      <c r="K8" s="22" t="s">
        <v>2</v>
      </c>
      <c r="L8" s="22" t="s">
        <v>3</v>
      </c>
      <c r="M8" s="22" t="s">
        <v>4</v>
      </c>
      <c r="N8" s="22" t="s">
        <v>14</v>
      </c>
      <c r="O8" s="22" t="s">
        <v>15</v>
      </c>
    </row>
    <row r="9" spans="2:15" x14ac:dyDescent="0.3">
      <c r="B9" s="6">
        <v>15</v>
      </c>
      <c r="C9" s="11">
        <v>1.72E-3</v>
      </c>
      <c r="D9" s="9"/>
      <c r="E9" s="17">
        <v>1.72E-3</v>
      </c>
      <c r="F9" s="17">
        <v>5.2000000000000006E-4</v>
      </c>
      <c r="G9" s="26">
        <v>0.27600000000000002</v>
      </c>
      <c r="H9" s="19">
        <v>0</v>
      </c>
      <c r="I9" s="7"/>
      <c r="J9" s="12" cm="1">
        <f t="array" ref="J9:J59">qxm*(1-0.5*qxi)*(1-0.5*qxw)*(1-qxr)</f>
        <v>1.4822545135999999E-3</v>
      </c>
      <c r="K9" s="12" cm="1">
        <f t="array" ref="K9:K59">qxi*(1-0.5*qxm)*(1-0.5*qxw)*(1-qxr)</f>
        <v>4.4785451360000007E-4</v>
      </c>
      <c r="L9" s="12" cm="1">
        <f t="array" ref="L9:L59">qxw*(1-0.5*qxm)*(1-0.5*qxi)*(1-qxr)</f>
        <v>0.27569094171359998</v>
      </c>
      <c r="M9" s="12" cm="1">
        <f t="array" ref="M9:M59">qxr*(1-0.5*qxm)*(1-0.5*qxi)*(1-qxw)</f>
        <v>0</v>
      </c>
      <c r="N9" s="25">
        <f>+M9+L9+K9+J9</f>
        <v>0.27762105074080001</v>
      </c>
      <c r="O9" s="11">
        <f>1-N9</f>
        <v>0.72237894925919999</v>
      </c>
    </row>
    <row r="10" spans="2:15" x14ac:dyDescent="0.3">
      <c r="B10" s="6">
        <v>16</v>
      </c>
      <c r="C10" s="11">
        <v>1.7700000000000001E-3</v>
      </c>
      <c r="D10" s="11"/>
      <c r="E10" s="17">
        <v>1.7700000000000001E-3</v>
      </c>
      <c r="F10" s="17">
        <v>5.2000000000000006E-4</v>
      </c>
      <c r="G10" s="26">
        <v>0.26700000000000002</v>
      </c>
      <c r="H10" s="19">
        <v>0</v>
      </c>
      <c r="I10" s="19"/>
      <c r="J10" s="12">
        <v>1.5333062367E-3</v>
      </c>
      <c r="K10" s="11">
        <v>4.5018123670000006E-4</v>
      </c>
      <c r="L10" s="11">
        <v>0.26669434643669998</v>
      </c>
      <c r="M10" s="11">
        <v>0</v>
      </c>
      <c r="N10" s="25">
        <f t="shared" ref="N10:N54" si="0">+M10+L10+K10+J10</f>
        <v>0.26867783391009997</v>
      </c>
      <c r="O10" s="11">
        <f t="shared" ref="O10:O54" si="1">1-N10</f>
        <v>0.73132216608990008</v>
      </c>
    </row>
    <row r="11" spans="2:15" x14ac:dyDescent="0.3">
      <c r="B11" s="6">
        <v>17</v>
      </c>
      <c r="C11" s="11">
        <v>1.81E-3</v>
      </c>
      <c r="D11" s="11"/>
      <c r="E11" s="17">
        <v>1.81E-3</v>
      </c>
      <c r="F11" s="17">
        <v>5.2000000000000006E-4</v>
      </c>
      <c r="G11" s="26">
        <v>0.25800000000000001</v>
      </c>
      <c r="H11" s="19">
        <v>0</v>
      </c>
      <c r="I11" s="19"/>
      <c r="J11" s="12">
        <v>1.5761001073999999E-3</v>
      </c>
      <c r="K11" s="11">
        <v>4.5251010740000002E-4</v>
      </c>
      <c r="L11" s="11">
        <v>0.2576994907074</v>
      </c>
      <c r="M11" s="11">
        <v>0</v>
      </c>
      <c r="N11" s="25">
        <f t="shared" si="0"/>
        <v>0.2597281009222</v>
      </c>
      <c r="O11" s="11">
        <f t="shared" si="1"/>
        <v>0.7402718990778</v>
      </c>
    </row>
    <row r="12" spans="2:15" x14ac:dyDescent="0.3">
      <c r="B12" s="6">
        <v>18</v>
      </c>
      <c r="C12" s="11">
        <v>1.8600000000000001E-3</v>
      </c>
      <c r="D12" s="11"/>
      <c r="E12" s="17">
        <v>1.8600000000000001E-3</v>
      </c>
      <c r="F12" s="17">
        <v>6.0999999999999997E-4</v>
      </c>
      <c r="G12" s="26">
        <v>0.252</v>
      </c>
      <c r="H12" s="19">
        <v>0</v>
      </c>
      <c r="I12" s="19"/>
      <c r="J12" s="12">
        <v>1.6251441798E-3</v>
      </c>
      <c r="K12" s="11">
        <v>5.3264417979999995E-4</v>
      </c>
      <c r="L12" s="11">
        <v>0.25168885147980002</v>
      </c>
      <c r="M12" s="11">
        <v>0</v>
      </c>
      <c r="N12" s="25">
        <f t="shared" si="0"/>
        <v>0.25384663983939998</v>
      </c>
      <c r="O12" s="11">
        <f t="shared" si="1"/>
        <v>0.74615336016060008</v>
      </c>
    </row>
    <row r="13" spans="2:15" x14ac:dyDescent="0.3">
      <c r="B13" s="6">
        <v>19</v>
      </c>
      <c r="C13" s="11">
        <v>1.91E-3</v>
      </c>
      <c r="D13" s="11"/>
      <c r="E13" s="17">
        <v>1.91E-3</v>
      </c>
      <c r="F13" s="17">
        <v>6.8999999999999997E-4</v>
      </c>
      <c r="G13" s="26">
        <v>0.246</v>
      </c>
      <c r="H13" s="19">
        <v>0</v>
      </c>
      <c r="I13" s="19"/>
      <c r="J13" s="12">
        <v>1.6744921008499999E-3</v>
      </c>
      <c r="K13" s="11">
        <v>6.0455210084999996E-4</v>
      </c>
      <c r="L13" s="11">
        <v>0.24568028105084996</v>
      </c>
      <c r="M13" s="11">
        <v>0</v>
      </c>
      <c r="N13" s="25">
        <f t="shared" si="0"/>
        <v>0.24795932525254996</v>
      </c>
      <c r="O13" s="11">
        <f t="shared" si="1"/>
        <v>0.75204067474745007</v>
      </c>
    </row>
    <row r="14" spans="2:15" x14ac:dyDescent="0.3">
      <c r="B14" s="6">
        <v>20</v>
      </c>
      <c r="C14" s="11">
        <v>1.97E-3</v>
      </c>
      <c r="D14" s="11"/>
      <c r="E14" s="17">
        <v>1.97E-3</v>
      </c>
      <c r="F14" s="17">
        <v>7.6000000000000004E-4</v>
      </c>
      <c r="G14" s="26">
        <v>0.24</v>
      </c>
      <c r="H14" s="19">
        <v>0</v>
      </c>
      <c r="I14" s="19"/>
      <c r="J14" s="12">
        <v>1.7329412319999997E-3</v>
      </c>
      <c r="K14" s="11">
        <v>6.6814123199999997E-4</v>
      </c>
      <c r="L14" s="11">
        <v>0.23967248983199999</v>
      </c>
      <c r="M14" s="11">
        <v>0</v>
      </c>
      <c r="N14" s="25">
        <f t="shared" si="0"/>
        <v>0.24207357229599999</v>
      </c>
      <c r="O14" s="11">
        <f t="shared" si="1"/>
        <v>0.75792642770399998</v>
      </c>
    </row>
    <row r="15" spans="2:15" x14ac:dyDescent="0.3">
      <c r="B15" s="6">
        <v>21</v>
      </c>
      <c r="C15" s="11">
        <v>2.0200000000000001E-3</v>
      </c>
      <c r="D15" s="11"/>
      <c r="E15" s="17">
        <v>2.0200000000000001E-3</v>
      </c>
      <c r="F15" s="17">
        <v>8.1999999999999998E-4</v>
      </c>
      <c r="G15" s="26">
        <v>0.23400000000000001</v>
      </c>
      <c r="H15" s="19">
        <v>0</v>
      </c>
      <c r="I15" s="19"/>
      <c r="J15" s="12">
        <v>1.7829286994E-3</v>
      </c>
      <c r="K15" s="11">
        <v>7.2332869940000002E-4</v>
      </c>
      <c r="L15" s="11">
        <v>0.2336678168994</v>
      </c>
      <c r="M15" s="11">
        <v>0</v>
      </c>
      <c r="N15" s="25">
        <f t="shared" si="0"/>
        <v>0.2361740742982</v>
      </c>
      <c r="O15" s="11">
        <f t="shared" si="1"/>
        <v>0.76382592570179997</v>
      </c>
    </row>
    <row r="16" spans="2:15" x14ac:dyDescent="0.3">
      <c r="B16" s="6">
        <v>22</v>
      </c>
      <c r="C16" s="11">
        <v>2.0899999999999998E-3</v>
      </c>
      <c r="D16" s="11"/>
      <c r="E16" s="17">
        <v>2.0899999999999998E-3</v>
      </c>
      <c r="F16" s="17">
        <v>8.8000000000000003E-4</v>
      </c>
      <c r="G16" s="26">
        <v>0.23</v>
      </c>
      <c r="H16" s="19">
        <v>0</v>
      </c>
      <c r="I16" s="19"/>
      <c r="J16" s="12">
        <v>1.8488361539999998E-3</v>
      </c>
      <c r="K16" s="11">
        <v>7.7798615400000008E-4</v>
      </c>
      <c r="L16" s="11">
        <v>0.22965855575400002</v>
      </c>
      <c r="M16" s="11">
        <v>0</v>
      </c>
      <c r="N16" s="25">
        <f t="shared" si="0"/>
        <v>0.232285378062</v>
      </c>
      <c r="O16" s="11">
        <f t="shared" si="1"/>
        <v>0.767714621938</v>
      </c>
    </row>
    <row r="17" spans="2:15" x14ac:dyDescent="0.3">
      <c r="B17" s="6">
        <v>23</v>
      </c>
      <c r="C17" s="11">
        <v>2.15E-3</v>
      </c>
      <c r="D17" s="11"/>
      <c r="E17" s="17">
        <v>2.15E-3</v>
      </c>
      <c r="F17" s="17">
        <v>9.2000000000000003E-4</v>
      </c>
      <c r="G17" s="26">
        <v>0.22800000000000001</v>
      </c>
      <c r="H17" s="19">
        <v>0</v>
      </c>
      <c r="I17" s="19"/>
      <c r="J17" s="12">
        <v>1.9040237460000002E-3</v>
      </c>
      <c r="K17" s="11">
        <v>8.1424374599999992E-4</v>
      </c>
      <c r="L17" s="11">
        <v>0.22765013274600002</v>
      </c>
      <c r="M17" s="11">
        <v>0</v>
      </c>
      <c r="N17" s="25">
        <f t="shared" si="0"/>
        <v>0.23036840023800001</v>
      </c>
      <c r="O17" s="11">
        <f t="shared" si="1"/>
        <v>0.76963159976200002</v>
      </c>
    </row>
    <row r="18" spans="2:15" x14ac:dyDescent="0.3">
      <c r="B18" s="6">
        <v>24</v>
      </c>
      <c r="C18" s="11">
        <v>2.2200000000000002E-3</v>
      </c>
      <c r="D18" s="11"/>
      <c r="E18" s="17">
        <v>2.2200000000000002E-3</v>
      </c>
      <c r="F18" s="17">
        <v>9.5999999999999992E-4</v>
      </c>
      <c r="G18" s="26">
        <v>0.22600000000000001</v>
      </c>
      <c r="H18" s="19">
        <v>0</v>
      </c>
      <c r="I18" s="19"/>
      <c r="J18" s="12">
        <v>1.9681948128000004E-3</v>
      </c>
      <c r="K18" s="11">
        <v>8.5057481279999993E-4</v>
      </c>
      <c r="L18" s="11">
        <v>0.22564078041279997</v>
      </c>
      <c r="M18" s="11">
        <v>0</v>
      </c>
      <c r="N18" s="25">
        <f t="shared" si="0"/>
        <v>0.22845955003839996</v>
      </c>
      <c r="O18" s="11">
        <f t="shared" si="1"/>
        <v>0.77154044996160009</v>
      </c>
    </row>
    <row r="19" spans="2:15" x14ac:dyDescent="0.3">
      <c r="B19" s="6">
        <v>25</v>
      </c>
      <c r="C19" s="11">
        <v>2.3E-3</v>
      </c>
      <c r="D19" s="11"/>
      <c r="E19" s="17">
        <v>2.3E-3</v>
      </c>
      <c r="F19" s="17">
        <v>1E-3</v>
      </c>
      <c r="G19" s="26">
        <v>0.22500000000000001</v>
      </c>
      <c r="H19" s="19">
        <v>0</v>
      </c>
      <c r="I19" s="19"/>
      <c r="J19" s="12">
        <v>2.040229375E-3</v>
      </c>
      <c r="K19" s="11">
        <v>8.8647937500000004E-4</v>
      </c>
      <c r="L19" s="11">
        <v>0.22462887937500001</v>
      </c>
      <c r="M19" s="11">
        <v>0</v>
      </c>
      <c r="N19" s="25">
        <f t="shared" si="0"/>
        <v>0.22755558812500001</v>
      </c>
      <c r="O19" s="11">
        <f t="shared" si="1"/>
        <v>0.77244441187500001</v>
      </c>
    </row>
    <row r="20" spans="2:15" x14ac:dyDescent="0.3">
      <c r="B20" s="6">
        <v>26</v>
      </c>
      <c r="C20" s="11">
        <v>2.3700000000000001E-3</v>
      </c>
      <c r="D20" s="11"/>
      <c r="E20" s="17">
        <v>2.3700000000000001E-3</v>
      </c>
      <c r="F20" s="17">
        <v>1.0200000000000001E-3</v>
      </c>
      <c r="G20" s="26">
        <v>0.21</v>
      </c>
      <c r="H20" s="19">
        <v>0</v>
      </c>
      <c r="I20" s="19"/>
      <c r="J20" s="12">
        <v>2.1200682134999999E-3</v>
      </c>
      <c r="K20" s="11">
        <v>9.1181821350000013E-4</v>
      </c>
      <c r="L20" s="11">
        <v>0.20964417691349999</v>
      </c>
      <c r="M20" s="11">
        <v>0</v>
      </c>
      <c r="N20" s="25">
        <f t="shared" si="0"/>
        <v>0.21267606334049999</v>
      </c>
      <c r="O20" s="11">
        <f t="shared" si="1"/>
        <v>0.78732393665949996</v>
      </c>
    </row>
    <row r="21" spans="2:15" x14ac:dyDescent="0.3">
      <c r="B21" s="6">
        <v>27</v>
      </c>
      <c r="C21" s="11">
        <v>2.4599999999999999E-3</v>
      </c>
      <c r="D21" s="11"/>
      <c r="E21" s="17">
        <v>2.4599999999999999E-3</v>
      </c>
      <c r="F21" s="17">
        <v>1.0500000000000002E-3</v>
      </c>
      <c r="G21" s="26">
        <v>0.19000000000000003</v>
      </c>
      <c r="H21" s="19">
        <v>0</v>
      </c>
      <c r="I21" s="19"/>
      <c r="J21" s="12">
        <v>2.2251311925000003E-3</v>
      </c>
      <c r="K21" s="11">
        <v>9.4908119250000015E-4</v>
      </c>
      <c r="L21" s="11">
        <v>0.18966667269250004</v>
      </c>
      <c r="M21" s="11">
        <v>0</v>
      </c>
      <c r="N21" s="25">
        <f t="shared" si="0"/>
        <v>0.19284088507750005</v>
      </c>
      <c r="O21" s="11">
        <f t="shared" si="1"/>
        <v>0.80715911492249992</v>
      </c>
    </row>
    <row r="22" spans="2:15" x14ac:dyDescent="0.3">
      <c r="B22" s="6">
        <v>28</v>
      </c>
      <c r="C22" s="11">
        <v>2.5400000000000002E-3</v>
      </c>
      <c r="D22" s="11"/>
      <c r="E22" s="17">
        <v>2.5400000000000002E-3</v>
      </c>
      <c r="F22" s="17">
        <v>1.07E-3</v>
      </c>
      <c r="G22" s="26">
        <v>0.16500000000000001</v>
      </c>
      <c r="H22" s="19">
        <v>0</v>
      </c>
      <c r="I22" s="19"/>
      <c r="J22" s="12">
        <v>2.3292032092500003E-3</v>
      </c>
      <c r="K22" s="11">
        <v>9.8047820925000004E-4</v>
      </c>
      <c r="L22" s="11">
        <v>0.16470228710925</v>
      </c>
      <c r="M22" s="11">
        <v>0</v>
      </c>
      <c r="N22" s="25">
        <f t="shared" si="0"/>
        <v>0.16801196852775002</v>
      </c>
      <c r="O22" s="11">
        <f t="shared" si="1"/>
        <v>0.83198803147224998</v>
      </c>
    </row>
    <row r="23" spans="2:15" x14ac:dyDescent="0.3">
      <c r="B23" s="6">
        <v>29</v>
      </c>
      <c r="C23" s="11">
        <v>2.64E-3</v>
      </c>
      <c r="D23" s="11"/>
      <c r="E23" s="17">
        <v>2.64E-3</v>
      </c>
      <c r="F23" s="17">
        <v>1.1000000000000001E-3</v>
      </c>
      <c r="G23" s="26">
        <v>0.15</v>
      </c>
      <c r="H23" s="19">
        <v>0</v>
      </c>
      <c r="I23" s="19"/>
      <c r="J23" s="12">
        <v>2.4406568999999997E-3</v>
      </c>
      <c r="K23" s="11">
        <v>1.0161568999999999E-3</v>
      </c>
      <c r="L23" s="11">
        <v>0.1497196089</v>
      </c>
      <c r="M23" s="11">
        <v>0</v>
      </c>
      <c r="N23" s="25">
        <f t="shared" si="0"/>
        <v>0.15317642270000001</v>
      </c>
      <c r="O23" s="11">
        <f t="shared" si="1"/>
        <v>0.84682357730000002</v>
      </c>
    </row>
    <row r="24" spans="2:15" x14ac:dyDescent="0.3">
      <c r="B24" s="6">
        <v>30</v>
      </c>
      <c r="C24" s="11">
        <v>2.7399999999999998E-3</v>
      </c>
      <c r="D24" s="11"/>
      <c r="E24" s="17">
        <v>2.7399999999999998E-3</v>
      </c>
      <c r="F24" s="17">
        <v>1.1200000000000001E-3</v>
      </c>
      <c r="G24" s="26">
        <v>0.13600000000000001</v>
      </c>
      <c r="H24" s="19">
        <v>0</v>
      </c>
      <c r="I24" s="19"/>
      <c r="J24" s="12">
        <v>2.5522499391999994E-3</v>
      </c>
      <c r="K24" s="11">
        <v>1.0424099392000001E-3</v>
      </c>
      <c r="L24" s="11">
        <v>0.13573762433920003</v>
      </c>
      <c r="M24" s="11">
        <v>0</v>
      </c>
      <c r="N24" s="25">
        <f t="shared" si="0"/>
        <v>0.13933228421760002</v>
      </c>
      <c r="O24" s="11">
        <f t="shared" si="1"/>
        <v>0.86066771578239998</v>
      </c>
    </row>
    <row r="25" spans="2:15" x14ac:dyDescent="0.3">
      <c r="B25" s="6">
        <v>31</v>
      </c>
      <c r="C25" s="11">
        <v>2.8400000000000001E-3</v>
      </c>
      <c r="D25" s="11"/>
      <c r="E25" s="17">
        <v>2.8400000000000001E-3</v>
      </c>
      <c r="F25" s="17">
        <v>1.15E-3</v>
      </c>
      <c r="G25" s="26">
        <v>0.125</v>
      </c>
      <c r="H25" s="19">
        <v>0</v>
      </c>
      <c r="I25" s="19"/>
      <c r="J25" s="12">
        <v>2.6609690625E-3</v>
      </c>
      <c r="K25" s="11">
        <v>1.0765940624999999E-3</v>
      </c>
      <c r="L25" s="11">
        <v>0.1247507270625</v>
      </c>
      <c r="M25" s="11">
        <v>0</v>
      </c>
      <c r="N25" s="25">
        <f t="shared" si="0"/>
        <v>0.12848829018749999</v>
      </c>
      <c r="O25" s="11">
        <f t="shared" si="1"/>
        <v>0.87151170981250003</v>
      </c>
    </row>
    <row r="26" spans="2:15" x14ac:dyDescent="0.3">
      <c r="B26" s="6">
        <v>32</v>
      </c>
      <c r="C26" s="11">
        <v>2.9499999999999999E-3</v>
      </c>
      <c r="D26" s="11"/>
      <c r="E26" s="17">
        <v>2.9499999999999999E-3</v>
      </c>
      <c r="F26" s="17">
        <v>1.1799999999999998E-3</v>
      </c>
      <c r="G26" s="26">
        <v>0.11600000000000001</v>
      </c>
      <c r="H26" s="19">
        <v>0</v>
      </c>
      <c r="I26" s="19"/>
      <c r="J26" s="12">
        <v>2.7772604490000001E-3</v>
      </c>
      <c r="K26" s="11">
        <v>1.1099204489999999E-3</v>
      </c>
      <c r="L26" s="11">
        <v>0.115760560949</v>
      </c>
      <c r="M26" s="11">
        <v>0</v>
      </c>
      <c r="N26" s="25">
        <f t="shared" si="0"/>
        <v>0.119647741847</v>
      </c>
      <c r="O26" s="11">
        <f t="shared" si="1"/>
        <v>0.880352258153</v>
      </c>
    </row>
    <row r="27" spans="2:15" x14ac:dyDescent="0.3">
      <c r="B27" s="6">
        <v>33</v>
      </c>
      <c r="C27" s="11">
        <v>3.0699999999999998E-3</v>
      </c>
      <c r="D27" s="11"/>
      <c r="E27" s="17">
        <v>3.0699999999999998E-3</v>
      </c>
      <c r="F27" s="17">
        <v>1.2099999999999999E-3</v>
      </c>
      <c r="G27" s="26">
        <v>0.11</v>
      </c>
      <c r="H27" s="19">
        <v>0</v>
      </c>
      <c r="I27" s="19"/>
      <c r="J27" s="12">
        <v>2.8993948042499995E-3</v>
      </c>
      <c r="K27" s="11">
        <v>1.1416948042499999E-3</v>
      </c>
      <c r="L27" s="11">
        <v>0.10976470215425001</v>
      </c>
      <c r="M27" s="11">
        <v>0</v>
      </c>
      <c r="N27" s="25">
        <f t="shared" si="0"/>
        <v>0.11380579176275001</v>
      </c>
      <c r="O27" s="11">
        <f t="shared" si="1"/>
        <v>0.88619420823725004</v>
      </c>
    </row>
    <row r="28" spans="2:15" x14ac:dyDescent="0.3">
      <c r="B28" s="6">
        <v>34</v>
      </c>
      <c r="C28" s="11">
        <v>3.1900000000000001E-3</v>
      </c>
      <c r="D28" s="11"/>
      <c r="E28" s="17">
        <v>3.1900000000000001E-3</v>
      </c>
      <c r="F28" s="17">
        <v>1.24E-3</v>
      </c>
      <c r="G28" s="26">
        <v>0.10199999999999999</v>
      </c>
      <c r="H28" s="19">
        <v>0</v>
      </c>
      <c r="I28" s="19"/>
      <c r="J28" s="12">
        <v>3.0254330678000001E-3</v>
      </c>
      <c r="K28" s="11">
        <v>1.1748830677999998E-3</v>
      </c>
      <c r="L28" s="11">
        <v>0.1017741708678</v>
      </c>
      <c r="M28" s="11">
        <v>0</v>
      </c>
      <c r="N28" s="25">
        <f t="shared" si="0"/>
        <v>0.10597448700339999</v>
      </c>
      <c r="O28" s="11">
        <f t="shared" si="1"/>
        <v>0.89402551299660005</v>
      </c>
    </row>
    <row r="29" spans="2:15" x14ac:dyDescent="0.3">
      <c r="B29" s="6">
        <v>35</v>
      </c>
      <c r="C29" s="11">
        <v>3.32E-3</v>
      </c>
      <c r="D29" s="11"/>
      <c r="E29" s="17">
        <v>3.32E-3</v>
      </c>
      <c r="F29" s="17">
        <v>1.2900000000000001E-3</v>
      </c>
      <c r="G29" s="26">
        <v>9.7000000000000017E-2</v>
      </c>
      <c r="H29" s="19">
        <v>0</v>
      </c>
      <c r="I29" s="19"/>
      <c r="J29" s="12">
        <v>3.1569424579000003E-3</v>
      </c>
      <c r="K29" s="11">
        <v>1.2253974579000003E-3</v>
      </c>
      <c r="L29" s="11">
        <v>9.6776518857900021E-2</v>
      </c>
      <c r="M29" s="11">
        <v>0</v>
      </c>
      <c r="N29" s="25">
        <f t="shared" si="0"/>
        <v>0.10115885877370002</v>
      </c>
      <c r="O29" s="11">
        <f t="shared" si="1"/>
        <v>0.89884114122629999</v>
      </c>
    </row>
    <row r="30" spans="2:15" x14ac:dyDescent="0.3">
      <c r="B30" s="6">
        <v>36</v>
      </c>
      <c r="C30" s="11">
        <v>3.46E-3</v>
      </c>
      <c r="D30" s="11"/>
      <c r="E30" s="17">
        <v>3.46E-3</v>
      </c>
      <c r="F30" s="17">
        <v>1.34E-3</v>
      </c>
      <c r="G30" s="26">
        <v>8.900000000000001E-2</v>
      </c>
      <c r="H30" s="19">
        <v>0</v>
      </c>
      <c r="I30" s="19"/>
      <c r="J30" s="12">
        <v>3.3038149599000002E-3</v>
      </c>
      <c r="K30" s="11">
        <v>1.2781549599000001E-3</v>
      </c>
      <c r="L30" s="11">
        <v>8.8786503159900013E-2</v>
      </c>
      <c r="M30" s="11">
        <v>0</v>
      </c>
      <c r="N30" s="25">
        <f t="shared" si="0"/>
        <v>9.3368473079700004E-2</v>
      </c>
      <c r="O30" s="11">
        <f t="shared" si="1"/>
        <v>0.90663152692030002</v>
      </c>
    </row>
    <row r="31" spans="2:15" x14ac:dyDescent="0.3">
      <c r="B31" s="6">
        <v>37</v>
      </c>
      <c r="C31" s="11">
        <v>3.6099999999999999E-3</v>
      </c>
      <c r="D31" s="11"/>
      <c r="E31" s="17">
        <v>3.6099999999999999E-3</v>
      </c>
      <c r="F31" s="17">
        <v>1.4E-3</v>
      </c>
      <c r="G31" s="26">
        <v>8.4000000000000005E-2</v>
      </c>
      <c r="H31" s="19">
        <v>0</v>
      </c>
      <c r="I31" s="19"/>
      <c r="J31" s="12">
        <v>3.4559591339999997E-3</v>
      </c>
      <c r="K31" s="11">
        <v>1.3387791339999999E-3</v>
      </c>
      <c r="L31" s="11">
        <v>8.3789686134000008E-2</v>
      </c>
      <c r="M31" s="11">
        <v>0</v>
      </c>
      <c r="N31" s="25">
        <f t="shared" si="0"/>
        <v>8.8584424402000012E-2</v>
      </c>
      <c r="O31" s="11">
        <f t="shared" si="1"/>
        <v>0.91141557559800002</v>
      </c>
    </row>
    <row r="32" spans="2:15" x14ac:dyDescent="0.3">
      <c r="B32" s="6">
        <v>38</v>
      </c>
      <c r="C32" s="11">
        <v>3.7699999999999999E-3</v>
      </c>
      <c r="D32" s="11"/>
      <c r="E32" s="17">
        <v>3.7699999999999999E-3</v>
      </c>
      <c r="F32" s="17">
        <v>1.47E-3</v>
      </c>
      <c r="G32" s="26">
        <v>7.9000000000000001E-2</v>
      </c>
      <c r="H32" s="19">
        <v>0</v>
      </c>
      <c r="I32" s="19"/>
      <c r="J32" s="12">
        <v>3.6184235025249999E-3</v>
      </c>
      <c r="K32" s="11">
        <v>1.4092735025249999E-3</v>
      </c>
      <c r="L32" s="11">
        <v>7.8793129452524993E-2</v>
      </c>
      <c r="M32" s="11">
        <v>0</v>
      </c>
      <c r="N32" s="25">
        <f t="shared" si="0"/>
        <v>8.3820826457574993E-2</v>
      </c>
      <c r="O32" s="11">
        <f t="shared" si="1"/>
        <v>0.91617917354242495</v>
      </c>
    </row>
    <row r="33" spans="2:15" x14ac:dyDescent="0.3">
      <c r="B33" s="6">
        <v>39</v>
      </c>
      <c r="C33" s="11">
        <v>3.9300000000000003E-3</v>
      </c>
      <c r="D33" s="11"/>
      <c r="E33" s="17">
        <v>3.9300000000000003E-3</v>
      </c>
      <c r="F33" s="17">
        <v>1.5499999999999999E-3</v>
      </c>
      <c r="G33" s="26">
        <v>7.2999999999999995E-2</v>
      </c>
      <c r="H33" s="19">
        <v>0</v>
      </c>
      <c r="I33" s="19"/>
      <c r="J33" s="12">
        <v>3.7836204198750008E-3</v>
      </c>
      <c r="K33" s="11">
        <v>1.4904904198750001E-3</v>
      </c>
      <c r="L33" s="11">
        <v>7.2800091169874986E-2</v>
      </c>
      <c r="M33" s="11">
        <v>0</v>
      </c>
      <c r="N33" s="25">
        <f t="shared" si="0"/>
        <v>7.8074202009624991E-2</v>
      </c>
      <c r="O33" s="11">
        <f t="shared" si="1"/>
        <v>0.921925797990375</v>
      </c>
    </row>
    <row r="34" spans="2:15" x14ac:dyDescent="0.3">
      <c r="B34" s="6">
        <v>40</v>
      </c>
      <c r="C34" s="11">
        <v>4.1099999999999999E-3</v>
      </c>
      <c r="D34" s="11"/>
      <c r="E34" s="17">
        <v>4.1099999999999999E-3</v>
      </c>
      <c r="F34" s="17">
        <v>1.64E-3</v>
      </c>
      <c r="G34" s="26">
        <v>6.9000000000000006E-2</v>
      </c>
      <c r="H34" s="19">
        <v>0</v>
      </c>
      <c r="I34" s="19"/>
      <c r="J34" s="12">
        <v>3.9649510719000003E-3</v>
      </c>
      <c r="K34" s="11">
        <v>1.5801660719000001E-3</v>
      </c>
      <c r="L34" s="11">
        <v>6.8801741271900002E-2</v>
      </c>
      <c r="M34" s="11">
        <v>0</v>
      </c>
      <c r="N34" s="25">
        <f t="shared" si="0"/>
        <v>7.434685841569999E-2</v>
      </c>
      <c r="O34" s="11">
        <f t="shared" si="1"/>
        <v>0.92565314158430001</v>
      </c>
    </row>
    <row r="35" spans="2:15" x14ac:dyDescent="0.3">
      <c r="B35" s="6">
        <v>41</v>
      </c>
      <c r="C35" s="11">
        <v>4.3E-3</v>
      </c>
      <c r="D35" s="11"/>
      <c r="E35" s="17">
        <v>4.3E-3</v>
      </c>
      <c r="F35" s="17">
        <v>1.73E-3</v>
      </c>
      <c r="G35" s="26">
        <v>6.3E-2</v>
      </c>
      <c r="H35" s="19">
        <v>0</v>
      </c>
      <c r="I35" s="19"/>
      <c r="J35" s="12">
        <v>4.1609476642500004E-3</v>
      </c>
      <c r="K35" s="11">
        <v>1.6719026642499999E-3</v>
      </c>
      <c r="L35" s="11">
        <v>6.281017216425E-2</v>
      </c>
      <c r="M35" s="11">
        <v>0</v>
      </c>
      <c r="N35" s="25">
        <f t="shared" si="0"/>
        <v>6.8643022492750005E-2</v>
      </c>
      <c r="O35" s="11">
        <f t="shared" si="1"/>
        <v>0.93135697750724999</v>
      </c>
    </row>
    <row r="36" spans="2:15" x14ac:dyDescent="0.3">
      <c r="B36" s="6">
        <v>42</v>
      </c>
      <c r="C36" s="11">
        <v>4.4999999999999997E-3</v>
      </c>
      <c r="D36" s="11"/>
      <c r="E36" s="17">
        <v>4.4999999999999997E-3</v>
      </c>
      <c r="F36" s="17">
        <v>1.8400000000000001E-3</v>
      </c>
      <c r="G36" s="26">
        <v>5.8999999999999997E-2</v>
      </c>
      <c r="H36" s="19">
        <v>0</v>
      </c>
      <c r="I36" s="19"/>
      <c r="J36" s="12">
        <v>4.3632321299999994E-3</v>
      </c>
      <c r="K36" s="11">
        <v>1.7817021300000002E-3</v>
      </c>
      <c r="L36" s="11">
        <v>5.8813092129999994E-2</v>
      </c>
      <c r="M36" s="11">
        <v>0</v>
      </c>
      <c r="N36" s="25">
        <f t="shared" si="0"/>
        <v>6.4958026389999993E-2</v>
      </c>
      <c r="O36" s="11">
        <f t="shared" si="1"/>
        <v>0.93504197360999997</v>
      </c>
    </row>
    <row r="37" spans="2:15" x14ac:dyDescent="0.3">
      <c r="B37" s="6">
        <v>43</v>
      </c>
      <c r="C37" s="55">
        <v>4.6105249999999999E-3</v>
      </c>
      <c r="D37" s="11"/>
      <c r="E37" s="17">
        <v>4.7099999999999998E-3</v>
      </c>
      <c r="F37" s="17">
        <v>1.9499999999999999E-3</v>
      </c>
      <c r="G37" s="26">
        <v>5.2999999999999999E-2</v>
      </c>
      <c r="H37" s="19">
        <v>0</v>
      </c>
      <c r="I37" s="19"/>
      <c r="J37" s="12">
        <v>4.5807144446249996E-3</v>
      </c>
      <c r="K37" s="11">
        <v>1.8938544446249999E-3</v>
      </c>
      <c r="L37" s="11">
        <v>5.2823631694624999E-2</v>
      </c>
      <c r="M37" s="11">
        <v>0</v>
      </c>
      <c r="N37" s="25">
        <f t="shared" si="0"/>
        <v>5.9298200583874999E-2</v>
      </c>
      <c r="O37" s="11">
        <f t="shared" si="1"/>
        <v>0.94070179941612497</v>
      </c>
    </row>
    <row r="38" spans="2:15" x14ac:dyDescent="0.3">
      <c r="B38" s="6">
        <v>44</v>
      </c>
      <c r="C38" s="11">
        <v>4.7316800000000003E-3</v>
      </c>
      <c r="D38" s="11"/>
      <c r="E38" s="17">
        <v>4.9300000000000004E-3</v>
      </c>
      <c r="F38" s="17">
        <v>2.0699999999999998E-3</v>
      </c>
      <c r="G38" s="26">
        <v>4.6000000000000006E-2</v>
      </c>
      <c r="H38" s="19">
        <v>0</v>
      </c>
      <c r="I38" s="19"/>
      <c r="J38" s="12">
        <v>4.8116248086499998E-3</v>
      </c>
      <c r="K38" s="11">
        <v>2.0174048086499994E-3</v>
      </c>
      <c r="L38" s="11">
        <v>4.5839117358650004E-2</v>
      </c>
      <c r="M38" s="11">
        <v>0</v>
      </c>
      <c r="N38" s="25">
        <f t="shared" si="0"/>
        <v>5.2668146975950007E-2</v>
      </c>
      <c r="O38" s="11">
        <f t="shared" si="1"/>
        <v>0.94733185302404999</v>
      </c>
    </row>
    <row r="39" spans="2:15" x14ac:dyDescent="0.3">
      <c r="B39" s="6">
        <v>45</v>
      </c>
      <c r="C39" s="11">
        <v>4.8729669999999998E-3</v>
      </c>
      <c r="D39" s="11"/>
      <c r="E39" s="17">
        <v>5.1700000000000001E-3</v>
      </c>
      <c r="F39" s="17">
        <v>2.2100000000000002E-3</v>
      </c>
      <c r="G39" s="26">
        <v>0.04</v>
      </c>
      <c r="H39" s="19">
        <v>0</v>
      </c>
      <c r="I39" s="19"/>
      <c r="J39" s="12">
        <v>5.0610014070000004E-3</v>
      </c>
      <c r="K39" s="11">
        <v>2.1602014070000002E-3</v>
      </c>
      <c r="L39" s="11">
        <v>3.9852514257000003E-2</v>
      </c>
      <c r="M39" s="11">
        <v>0</v>
      </c>
      <c r="N39" s="25">
        <f t="shared" si="0"/>
        <v>4.7073717070999999E-2</v>
      </c>
      <c r="O39" s="11">
        <f t="shared" si="1"/>
        <v>0.95292628292899995</v>
      </c>
    </row>
    <row r="40" spans="2:15" x14ac:dyDescent="0.3">
      <c r="B40" s="6">
        <v>46</v>
      </c>
      <c r="C40" s="11">
        <v>5.0243809999999996E-3</v>
      </c>
      <c r="D40" s="11"/>
      <c r="E40" s="17">
        <v>5.4200000000000003E-3</v>
      </c>
      <c r="F40" s="17">
        <v>2.3599999999999997E-3</v>
      </c>
      <c r="G40" s="26">
        <v>3.3000000000000002E-2</v>
      </c>
      <c r="H40" s="19">
        <v>0</v>
      </c>
      <c r="I40" s="19"/>
      <c r="J40" s="12">
        <v>5.3242799274000009E-3</v>
      </c>
      <c r="K40" s="11">
        <v>2.3147699273999996E-3</v>
      </c>
      <c r="L40" s="11">
        <v>3.2871735527400005E-2</v>
      </c>
      <c r="M40" s="11">
        <v>0</v>
      </c>
      <c r="N40" s="25">
        <f t="shared" si="0"/>
        <v>4.0510785382200001E-2</v>
      </c>
      <c r="O40" s="11">
        <f t="shared" si="1"/>
        <v>0.95948921461780001</v>
      </c>
    </row>
    <row r="41" spans="2:15" x14ac:dyDescent="0.3">
      <c r="B41" s="6">
        <v>47</v>
      </c>
      <c r="C41" s="11">
        <v>5.1949489999999999E-3</v>
      </c>
      <c r="D41" s="11"/>
      <c r="E41" s="17">
        <v>5.6899999999999997E-3</v>
      </c>
      <c r="F41" s="17">
        <v>2.5600000000000002E-3</v>
      </c>
      <c r="G41" s="26">
        <v>2.7E-2</v>
      </c>
      <c r="H41" s="19">
        <v>0</v>
      </c>
      <c r="I41" s="19"/>
      <c r="J41" s="12">
        <v>5.6060001232000004E-3</v>
      </c>
      <c r="K41" s="11">
        <v>2.5182551232000006E-3</v>
      </c>
      <c r="L41" s="11">
        <v>2.6888723323200001E-2</v>
      </c>
      <c r="M41" s="11">
        <v>0</v>
      </c>
      <c r="N41" s="25">
        <f t="shared" si="0"/>
        <v>3.5012978569599999E-2</v>
      </c>
      <c r="O41" s="11">
        <f t="shared" si="1"/>
        <v>0.96498702143040005</v>
      </c>
    </row>
    <row r="42" spans="2:15" x14ac:dyDescent="0.3">
      <c r="B42" s="6">
        <v>48</v>
      </c>
      <c r="C42" s="11">
        <v>5.3841959999999999E-3</v>
      </c>
      <c r="D42" s="11"/>
      <c r="E42" s="17">
        <v>5.9800000000000001E-3</v>
      </c>
      <c r="F42" s="17">
        <v>2.7899999999999999E-3</v>
      </c>
      <c r="G42" s="26">
        <v>2.1000000000000001E-2</v>
      </c>
      <c r="H42" s="19">
        <v>0</v>
      </c>
      <c r="I42" s="19"/>
      <c r="J42" s="12">
        <v>5.9089554920500002E-3</v>
      </c>
      <c r="K42" s="11">
        <v>2.7524504920499997E-3</v>
      </c>
      <c r="L42" s="11">
        <v>2.0908002592050001E-2</v>
      </c>
      <c r="M42" s="11">
        <v>0</v>
      </c>
      <c r="N42" s="25">
        <f t="shared" si="0"/>
        <v>2.9569408576150001E-2</v>
      </c>
      <c r="O42" s="11">
        <f t="shared" si="1"/>
        <v>0.97043059142385002</v>
      </c>
    </row>
    <row r="43" spans="2:15" x14ac:dyDescent="0.3">
      <c r="B43" s="6">
        <v>49</v>
      </c>
      <c r="C43" s="11">
        <v>5.5917229999999998E-3</v>
      </c>
      <c r="D43" s="11"/>
      <c r="E43" s="17">
        <v>6.2899999999999996E-3</v>
      </c>
      <c r="F43" s="17">
        <v>3.0899999999999999E-3</v>
      </c>
      <c r="G43" s="26">
        <v>1.4999999999999999E-2</v>
      </c>
      <c r="H43" s="19">
        <v>0</v>
      </c>
      <c r="I43" s="19"/>
      <c r="J43" s="12">
        <v>6.2331798353749994E-3</v>
      </c>
      <c r="K43" s="11">
        <v>3.0571798353750002E-3</v>
      </c>
      <c r="L43" s="11">
        <v>1.4929722885374998E-2</v>
      </c>
      <c r="M43" s="11">
        <v>0</v>
      </c>
      <c r="N43" s="25">
        <f t="shared" si="0"/>
        <v>2.4220082556125001E-2</v>
      </c>
      <c r="O43" s="11">
        <f t="shared" si="1"/>
        <v>0.97577991744387504</v>
      </c>
    </row>
    <row r="44" spans="2:15" x14ac:dyDescent="0.3">
      <c r="B44" s="6">
        <v>50</v>
      </c>
      <c r="C44" s="11">
        <v>5.8074529999999997E-3</v>
      </c>
      <c r="D44" s="11"/>
      <c r="E44" s="17">
        <v>6.6100000000000004E-3</v>
      </c>
      <c r="F44" s="17">
        <v>3.47E-3</v>
      </c>
      <c r="G44" s="26">
        <v>1.1000000000000001E-2</v>
      </c>
      <c r="H44" s="19">
        <v>0</v>
      </c>
      <c r="I44" s="19"/>
      <c r="J44" s="12">
        <v>6.5622397259250008E-3</v>
      </c>
      <c r="K44" s="11">
        <v>3.4395097259250001E-3</v>
      </c>
      <c r="L44" s="11">
        <v>1.0944623075925001E-2</v>
      </c>
      <c r="M44" s="11">
        <v>0</v>
      </c>
      <c r="N44" s="25">
        <f t="shared" si="0"/>
        <v>2.0946372527775002E-2</v>
      </c>
      <c r="O44" s="11">
        <f t="shared" si="1"/>
        <v>0.97905362747222502</v>
      </c>
    </row>
    <row r="45" spans="2:15" x14ac:dyDescent="0.3">
      <c r="B45" s="6">
        <v>51</v>
      </c>
      <c r="C45" s="11">
        <v>6.0493609999999996E-3</v>
      </c>
      <c r="D45" s="11"/>
      <c r="E45" s="17">
        <v>6.96E-3</v>
      </c>
      <c r="F45" s="17">
        <v>3.9500000000000004E-3</v>
      </c>
      <c r="G45" s="26">
        <v>0.01</v>
      </c>
      <c r="H45" s="19">
        <v>0</v>
      </c>
      <c r="I45" s="19"/>
      <c r="J45" s="12">
        <v>6.9115227300000004E-3</v>
      </c>
      <c r="K45" s="11">
        <v>3.9165727299999998E-3</v>
      </c>
      <c r="L45" s="11">
        <v>9.9455187300000001E-3</v>
      </c>
      <c r="M45" s="11">
        <v>0</v>
      </c>
      <c r="N45" s="25">
        <f t="shared" si="0"/>
        <v>2.0773614190000001E-2</v>
      </c>
      <c r="O45" s="11">
        <f t="shared" si="1"/>
        <v>0.97922638580999999</v>
      </c>
    </row>
    <row r="46" spans="2:15" x14ac:dyDescent="0.3">
      <c r="B46" s="6">
        <v>52</v>
      </c>
      <c r="C46" s="11">
        <v>6.3075850000000001E-3</v>
      </c>
      <c r="D46" s="11"/>
      <c r="E46" s="17">
        <v>7.3299999999999997E-3</v>
      </c>
      <c r="F46" s="17">
        <v>4.5399999999999998E-3</v>
      </c>
      <c r="G46" s="26">
        <v>5.0000000000000001E-3</v>
      </c>
      <c r="H46" s="19">
        <v>0</v>
      </c>
      <c r="I46" s="19"/>
      <c r="J46" s="12">
        <v>7.2950774977499997E-3</v>
      </c>
      <c r="K46" s="11">
        <v>4.51205249775E-3</v>
      </c>
      <c r="L46" s="11">
        <v>4.97036659775E-3</v>
      </c>
      <c r="M46" s="11">
        <v>0</v>
      </c>
      <c r="N46" s="25">
        <f t="shared" si="0"/>
        <v>1.6777496593250001E-2</v>
      </c>
      <c r="O46" s="11">
        <f t="shared" si="1"/>
        <v>0.98322250340674999</v>
      </c>
    </row>
    <row r="47" spans="2:15" x14ac:dyDescent="0.3">
      <c r="B47" s="6">
        <v>53</v>
      </c>
      <c r="C47" s="11">
        <v>6.5822349999999996E-3</v>
      </c>
      <c r="D47" s="11"/>
      <c r="E47" s="17">
        <v>7.7200000000000003E-3</v>
      </c>
      <c r="F47" s="17">
        <v>5.2500000000000003E-3</v>
      </c>
      <c r="G47" s="26">
        <v>3.0000000000000005E-3</v>
      </c>
      <c r="H47" s="19">
        <v>0</v>
      </c>
      <c r="I47" s="19"/>
      <c r="J47" s="12">
        <v>7.6881853975000001E-3</v>
      </c>
      <c r="K47" s="11">
        <v>5.2218903975000007E-3</v>
      </c>
      <c r="L47" s="11">
        <v>2.9805753975000009E-3</v>
      </c>
      <c r="M47" s="11">
        <v>0</v>
      </c>
      <c r="N47" s="25">
        <f t="shared" si="0"/>
        <v>1.5890651192500001E-2</v>
      </c>
      <c r="O47" s="11">
        <f t="shared" si="1"/>
        <v>0.98410934880750001</v>
      </c>
    </row>
    <row r="48" spans="2:15" x14ac:dyDescent="0.3">
      <c r="B48" s="6">
        <v>54</v>
      </c>
      <c r="C48" s="11">
        <v>6.8805489999999997E-3</v>
      </c>
      <c r="D48" s="11"/>
      <c r="E48" s="17">
        <v>8.1399999999999997E-3</v>
      </c>
      <c r="F48" s="17">
        <v>6.11E-3</v>
      </c>
      <c r="G48" s="26">
        <v>1E-3</v>
      </c>
      <c r="H48" s="19">
        <v>0</v>
      </c>
      <c r="I48" s="19"/>
      <c r="J48" s="12">
        <v>8.1110747338499992E-3</v>
      </c>
      <c r="K48" s="11">
        <v>6.0820897338500005E-3</v>
      </c>
      <c r="L48" s="11">
        <v>9.9288743384999979E-4</v>
      </c>
      <c r="M48" s="11">
        <v>0</v>
      </c>
      <c r="N48" s="25">
        <f t="shared" si="0"/>
        <v>1.518605190155E-2</v>
      </c>
      <c r="O48" s="11">
        <f t="shared" si="1"/>
        <v>0.98481394809845002</v>
      </c>
    </row>
    <row r="49" spans="2:15" x14ac:dyDescent="0.3">
      <c r="B49" s="6">
        <v>55</v>
      </c>
      <c r="C49" s="11">
        <v>7.202516E-3</v>
      </c>
      <c r="D49" s="11"/>
      <c r="E49" s="17">
        <v>8.5900000000000004E-3</v>
      </c>
      <c r="F49" s="17">
        <v>7.1200000000000005E-3</v>
      </c>
      <c r="G49" s="26">
        <v>7.1600000000000136E-3</v>
      </c>
      <c r="H49" s="19">
        <v>0</v>
      </c>
      <c r="I49" s="19"/>
      <c r="J49" s="12">
        <v>8.5287768778319999E-3</v>
      </c>
      <c r="K49" s="11">
        <v>7.0640394778319999E-3</v>
      </c>
      <c r="L49" s="11">
        <v>7.1038676778320134E-3</v>
      </c>
      <c r="M49" s="11">
        <v>0</v>
      </c>
      <c r="N49" s="25">
        <f t="shared" si="0"/>
        <v>2.2696684033496013E-2</v>
      </c>
      <c r="O49" s="11">
        <f t="shared" si="1"/>
        <v>0.97730331596650399</v>
      </c>
    </row>
    <row r="50" spans="2:15" x14ac:dyDescent="0.3">
      <c r="B50" s="6">
        <v>56</v>
      </c>
      <c r="C50" s="11">
        <v>7.5295229999999998E-3</v>
      </c>
      <c r="D50" s="11"/>
      <c r="E50" s="17">
        <v>9.0600000000000003E-3</v>
      </c>
      <c r="F50" s="17">
        <v>8.3800000000000003E-3</v>
      </c>
      <c r="G50" s="26">
        <v>7.1600000000000136E-3</v>
      </c>
      <c r="H50" s="19">
        <v>0</v>
      </c>
      <c r="I50" s="19"/>
      <c r="J50" s="12">
        <v>8.9897397018120009E-3</v>
      </c>
      <c r="K50" s="11">
        <v>8.3121741018120001E-3</v>
      </c>
      <c r="L50" s="11">
        <v>7.0977007018120123E-3</v>
      </c>
      <c r="M50" s="11">
        <v>0</v>
      </c>
      <c r="N50" s="25">
        <f t="shared" si="0"/>
        <v>2.4399614505436013E-2</v>
      </c>
      <c r="O50" s="11">
        <f t="shared" si="1"/>
        <v>0.97560038549456396</v>
      </c>
    </row>
    <row r="51" spans="2:15" x14ac:dyDescent="0.3">
      <c r="B51" s="6">
        <v>57</v>
      </c>
      <c r="C51" s="11">
        <v>7.8896030000000002E-3</v>
      </c>
      <c r="D51" s="11"/>
      <c r="E51" s="17">
        <v>9.5700000000000004E-3</v>
      </c>
      <c r="F51" s="17">
        <v>9.3299999999999998E-3</v>
      </c>
      <c r="G51" s="26">
        <v>7.1600000000000136E-3</v>
      </c>
      <c r="H51" s="19">
        <v>0</v>
      </c>
      <c r="I51" s="19"/>
      <c r="J51" s="12">
        <v>9.4912551756989993E-3</v>
      </c>
      <c r="K51" s="11">
        <v>9.2521143756989985E-3</v>
      </c>
      <c r="L51" s="11">
        <v>7.0924978256990123E-3</v>
      </c>
      <c r="M51" s="11">
        <v>0</v>
      </c>
      <c r="N51" s="25">
        <f t="shared" si="0"/>
        <v>2.5835867377097012E-2</v>
      </c>
      <c r="O51" s="11">
        <f t="shared" si="1"/>
        <v>0.97416413262290302</v>
      </c>
    </row>
    <row r="52" spans="2:15" x14ac:dyDescent="0.3">
      <c r="B52" s="6">
        <v>58</v>
      </c>
      <c r="C52" s="11">
        <v>8.273641E-3</v>
      </c>
      <c r="D52" s="11"/>
      <c r="E52" s="17">
        <v>1.0109999999999999E-2</v>
      </c>
      <c r="F52" s="17">
        <v>1.035E-2</v>
      </c>
      <c r="G52" s="26">
        <v>7.1600000000000136E-3</v>
      </c>
      <c r="H52" s="19">
        <v>0</v>
      </c>
      <c r="I52" s="19"/>
      <c r="J52" s="12">
        <v>1.0021674252914999E-2</v>
      </c>
      <c r="K52" s="11">
        <v>1.0260815052915E-2</v>
      </c>
      <c r="L52" s="11">
        <v>7.0869405029150125E-3</v>
      </c>
      <c r="M52" s="11">
        <v>0</v>
      </c>
      <c r="N52" s="25">
        <f t="shared" si="0"/>
        <v>2.7369429808745013E-2</v>
      </c>
      <c r="O52" s="11">
        <f t="shared" si="1"/>
        <v>0.97263057019125498</v>
      </c>
    </row>
    <row r="53" spans="2:15" x14ac:dyDescent="0.3">
      <c r="B53" s="6">
        <v>59</v>
      </c>
      <c r="C53" s="11">
        <v>8.6900789999999999E-3</v>
      </c>
      <c r="D53" s="11"/>
      <c r="E53" s="17">
        <v>1.069E-2</v>
      </c>
      <c r="F53" s="17">
        <v>1.1439999999999999E-2</v>
      </c>
      <c r="G53" s="26">
        <v>7.1600000000000136E-3</v>
      </c>
      <c r="H53" s="19">
        <v>0</v>
      </c>
      <c r="I53" s="19"/>
      <c r="J53" s="12">
        <v>1.0590801905544E-2</v>
      </c>
      <c r="K53" s="11">
        <v>1.1338116905543998E-2</v>
      </c>
      <c r="L53" s="11">
        <v>7.0809935055440136E-3</v>
      </c>
      <c r="M53" s="11">
        <v>0</v>
      </c>
      <c r="N53" s="25">
        <f t="shared" si="0"/>
        <v>2.9009912316632011E-2</v>
      </c>
      <c r="O53" s="11">
        <f t="shared" si="1"/>
        <v>0.97099008768336803</v>
      </c>
    </row>
    <row r="54" spans="2:15" x14ac:dyDescent="0.3">
      <c r="B54" s="6">
        <v>60</v>
      </c>
      <c r="C54" s="11">
        <v>9.1391800000000002E-3</v>
      </c>
      <c r="D54" s="11"/>
      <c r="E54" s="17">
        <v>0</v>
      </c>
      <c r="F54" s="17">
        <v>0</v>
      </c>
      <c r="G54" s="26">
        <v>0</v>
      </c>
      <c r="H54" s="17">
        <v>1</v>
      </c>
      <c r="I54" s="17"/>
      <c r="J54" s="12">
        <v>0</v>
      </c>
      <c r="K54" s="11">
        <v>0</v>
      </c>
      <c r="L54" s="11">
        <v>0</v>
      </c>
      <c r="M54" s="11">
        <v>1</v>
      </c>
      <c r="N54" s="25">
        <f t="shared" si="0"/>
        <v>1</v>
      </c>
      <c r="O54" s="11">
        <f t="shared" si="1"/>
        <v>0</v>
      </c>
    </row>
    <row r="55" spans="2:15" x14ac:dyDescent="0.3">
      <c r="B55" s="6">
        <v>61</v>
      </c>
      <c r="C55" s="11">
        <v>9.6293709999999994E-3</v>
      </c>
      <c r="D55" s="11"/>
      <c r="E55" s="17"/>
      <c r="F55" s="17"/>
      <c r="G55" s="26"/>
      <c r="H55" s="17"/>
      <c r="I55" s="17"/>
      <c r="J55" s="12">
        <v>0</v>
      </c>
      <c r="K55" s="11">
        <v>0</v>
      </c>
      <c r="L55" s="11">
        <v>0</v>
      </c>
      <c r="M55" s="11">
        <v>0</v>
      </c>
      <c r="N55" s="25"/>
      <c r="O55" s="11"/>
    </row>
    <row r="56" spans="2:15" x14ac:dyDescent="0.3">
      <c r="B56" s="6">
        <v>62</v>
      </c>
      <c r="C56" s="11">
        <v>1.0145059999999999E-2</v>
      </c>
      <c r="D56" s="11"/>
      <c r="E56" s="17"/>
      <c r="F56" s="17"/>
      <c r="G56" s="26"/>
      <c r="H56" s="17"/>
      <c r="I56" s="17"/>
      <c r="J56" s="12">
        <v>0</v>
      </c>
      <c r="K56" s="11">
        <v>0</v>
      </c>
      <c r="L56" s="11">
        <v>0</v>
      </c>
      <c r="M56" s="11">
        <v>0</v>
      </c>
      <c r="N56" s="25"/>
      <c r="O56" s="11"/>
    </row>
    <row r="57" spans="2:15" x14ac:dyDescent="0.3">
      <c r="B57" s="6">
        <v>63</v>
      </c>
      <c r="C57" s="11">
        <v>1.0710910000000001E-2</v>
      </c>
      <c r="D57" s="11"/>
      <c r="E57" s="17"/>
      <c r="F57" s="17"/>
      <c r="G57" s="26"/>
      <c r="H57" s="17"/>
      <c r="I57" s="17"/>
      <c r="J57" s="12">
        <v>0</v>
      </c>
      <c r="K57" s="11">
        <v>0</v>
      </c>
      <c r="L57" s="11">
        <v>0</v>
      </c>
      <c r="M57" s="11">
        <v>0</v>
      </c>
      <c r="N57" s="25"/>
      <c r="O57" s="11"/>
    </row>
    <row r="58" spans="2:15" x14ac:dyDescent="0.3">
      <c r="B58" s="6">
        <v>64</v>
      </c>
      <c r="C58" s="11">
        <v>1.1319610000000001E-2</v>
      </c>
      <c r="D58" s="11"/>
      <c r="E58" s="17"/>
      <c r="F58" s="17"/>
      <c r="G58" s="26"/>
      <c r="H58" s="17"/>
      <c r="I58" s="17"/>
      <c r="J58" s="12">
        <v>0</v>
      </c>
      <c r="K58" s="11">
        <v>0</v>
      </c>
      <c r="L58" s="11">
        <v>0</v>
      </c>
      <c r="M58" s="11">
        <v>0</v>
      </c>
      <c r="N58" s="25"/>
      <c r="O58" s="11"/>
    </row>
    <row r="59" spans="2:15" x14ac:dyDescent="0.3">
      <c r="B59" s="6">
        <v>65</v>
      </c>
      <c r="C59" s="11">
        <v>1.197995E-2</v>
      </c>
      <c r="D59" s="11"/>
      <c r="E59" s="17"/>
      <c r="F59" s="17"/>
      <c r="G59" s="26"/>
      <c r="H59" s="17"/>
      <c r="I59" s="17"/>
      <c r="J59" s="12">
        <v>0</v>
      </c>
      <c r="K59" s="11">
        <v>0</v>
      </c>
      <c r="L59" s="11">
        <v>0</v>
      </c>
      <c r="M59" s="11">
        <v>0</v>
      </c>
      <c r="N59" s="25"/>
      <c r="O59" s="11"/>
    </row>
    <row r="60" spans="2:15" x14ac:dyDescent="0.3">
      <c r="B60" s="6">
        <v>66</v>
      </c>
      <c r="C60" s="11">
        <v>1.268502E-2</v>
      </c>
      <c r="D60" s="11"/>
      <c r="O60" s="11"/>
    </row>
    <row r="61" spans="2:15" x14ac:dyDescent="0.3">
      <c r="B61" s="6">
        <v>67</v>
      </c>
      <c r="C61" s="11">
        <v>1.345186E-2</v>
      </c>
      <c r="D61" s="11"/>
      <c r="O61" s="11"/>
    </row>
    <row r="62" spans="2:15" x14ac:dyDescent="0.3">
      <c r="B62" s="6">
        <v>68</v>
      </c>
      <c r="C62" s="11">
        <v>1.4293480000000001E-2</v>
      </c>
      <c r="D62" s="11"/>
      <c r="O62" s="11"/>
    </row>
    <row r="63" spans="2:15" x14ac:dyDescent="0.3">
      <c r="B63" s="6">
        <v>69</v>
      </c>
      <c r="C63" s="11">
        <v>1.519648E-2</v>
      </c>
      <c r="D63" s="11"/>
      <c r="O63" s="11"/>
    </row>
    <row r="64" spans="2:15" x14ac:dyDescent="0.3">
      <c r="B64" s="6">
        <v>70</v>
      </c>
      <c r="C64" s="11">
        <v>1.6166139999999999E-2</v>
      </c>
      <c r="D64" s="11"/>
      <c r="O64" s="11"/>
    </row>
    <row r="65" spans="2:15" x14ac:dyDescent="0.3">
      <c r="B65" s="6">
        <v>71</v>
      </c>
      <c r="C65" s="11">
        <v>1.7228340000000002E-2</v>
      </c>
      <c r="D65" s="11"/>
      <c r="O65" s="11"/>
    </row>
    <row r="66" spans="2:15" x14ac:dyDescent="0.3">
      <c r="B66" s="6">
        <v>72</v>
      </c>
      <c r="C66" s="11">
        <v>1.8377689999999999E-2</v>
      </c>
      <c r="D66" s="11"/>
      <c r="O66" s="11"/>
    </row>
    <row r="67" spans="2:15" x14ac:dyDescent="0.3">
      <c r="B67" s="6">
        <v>73</v>
      </c>
      <c r="C67" s="11">
        <v>1.9639070000000002E-2</v>
      </c>
      <c r="D67" s="11"/>
      <c r="O67" s="11"/>
    </row>
    <row r="68" spans="2:15" x14ac:dyDescent="0.3">
      <c r="B68" s="6">
        <v>74</v>
      </c>
      <c r="C68" s="11">
        <v>2.0996230000000001E-2</v>
      </c>
      <c r="D68" s="11"/>
      <c r="O68" s="11"/>
    </row>
    <row r="69" spans="2:15" x14ac:dyDescent="0.3">
      <c r="B69" s="6">
        <v>75</v>
      </c>
      <c r="C69" s="11">
        <v>2.2474439999999998E-2</v>
      </c>
      <c r="D69" s="11"/>
      <c r="O69" s="11"/>
    </row>
    <row r="70" spans="2:15" x14ac:dyDescent="0.3">
      <c r="B70" s="6">
        <v>76</v>
      </c>
      <c r="C70" s="11">
        <v>2.3913810000000001E-2</v>
      </c>
      <c r="D70" s="11"/>
      <c r="O70" s="11"/>
    </row>
    <row r="71" spans="2:15" x14ac:dyDescent="0.3">
      <c r="B71" s="6">
        <v>77</v>
      </c>
      <c r="C71" s="11">
        <v>2.5466760000000001E-2</v>
      </c>
      <c r="D71" s="11"/>
      <c r="O71" s="11"/>
    </row>
    <row r="72" spans="2:15" x14ac:dyDescent="0.3">
      <c r="B72" s="6">
        <v>78</v>
      </c>
      <c r="C72" s="11">
        <v>2.7132239999999998E-2</v>
      </c>
      <c r="D72" s="11"/>
      <c r="O72" s="11"/>
    </row>
    <row r="73" spans="2:15" x14ac:dyDescent="0.3">
      <c r="B73" s="6">
        <v>79</v>
      </c>
      <c r="C73" s="11">
        <v>2.8905569999999998E-2</v>
      </c>
      <c r="D73" s="11"/>
      <c r="O73" s="11"/>
    </row>
    <row r="74" spans="2:15" x14ac:dyDescent="0.3">
      <c r="B74" s="6">
        <v>80</v>
      </c>
      <c r="C74" s="11">
        <v>3.0781530000000001E-2</v>
      </c>
      <c r="D74" s="11"/>
      <c r="O74" s="11"/>
    </row>
    <row r="75" spans="2:15" x14ac:dyDescent="0.3">
      <c r="B75" s="6">
        <v>81</v>
      </c>
      <c r="C75" s="11">
        <v>3.2769939999999997E-2</v>
      </c>
      <c r="D75" s="11"/>
      <c r="O75" s="11"/>
    </row>
    <row r="76" spans="2:15" x14ac:dyDescent="0.3">
      <c r="B76" s="6">
        <v>82</v>
      </c>
      <c r="C76" s="11">
        <v>3.4893550000000002E-2</v>
      </c>
      <c r="D76" s="11"/>
      <c r="O76" s="11"/>
    </row>
    <row r="77" spans="2:15" x14ac:dyDescent="0.3">
      <c r="B77" s="6">
        <v>83</v>
      </c>
      <c r="C77" s="11">
        <v>3.7140510000000002E-2</v>
      </c>
      <c r="D77" s="11"/>
      <c r="O77" s="11"/>
    </row>
    <row r="78" spans="2:15" x14ac:dyDescent="0.3">
      <c r="B78" s="6">
        <v>84</v>
      </c>
      <c r="C78" s="11">
        <v>3.9526209999999999E-2</v>
      </c>
      <c r="D78" s="11"/>
      <c r="O78" s="11"/>
    </row>
    <row r="79" spans="2:15" x14ac:dyDescent="0.3">
      <c r="B79" s="6">
        <v>85</v>
      </c>
      <c r="C79" s="11">
        <v>4.2096660000000001E-2</v>
      </c>
      <c r="D79" s="11"/>
      <c r="O79" s="11"/>
    </row>
    <row r="80" spans="2:15" x14ac:dyDescent="0.3">
      <c r="B80" s="6">
        <v>86</v>
      </c>
      <c r="C80" s="11">
        <v>4.4870359999999998E-2</v>
      </c>
      <c r="D80" s="11"/>
      <c r="O80" s="11"/>
    </row>
    <row r="81" spans="2:15" x14ac:dyDescent="0.3">
      <c r="B81" s="6">
        <v>87</v>
      </c>
      <c r="C81" s="11">
        <v>4.788042E-2</v>
      </c>
      <c r="D81" s="11"/>
      <c r="O81" s="11"/>
    </row>
    <row r="82" spans="2:15" x14ac:dyDescent="0.3">
      <c r="B82" s="6">
        <v>88</v>
      </c>
      <c r="C82" s="11">
        <v>5.1160619999999997E-2</v>
      </c>
      <c r="D82" s="11"/>
      <c r="O82" s="11"/>
    </row>
    <row r="83" spans="2:15" x14ac:dyDescent="0.3">
      <c r="B83" s="6">
        <v>89</v>
      </c>
      <c r="C83" s="11">
        <v>5.4739139999999999E-2</v>
      </c>
      <c r="D83" s="11"/>
      <c r="O83" s="11"/>
    </row>
    <row r="84" spans="2:15" x14ac:dyDescent="0.3">
      <c r="B84" s="6">
        <v>90</v>
      </c>
      <c r="C84" s="11">
        <v>6.2945100000000004E-2</v>
      </c>
      <c r="D84" s="11"/>
      <c r="O84" s="11"/>
    </row>
    <row r="85" spans="2:15" x14ac:dyDescent="0.3">
      <c r="B85" s="6">
        <v>91</v>
      </c>
      <c r="C85" s="11">
        <v>7.1243189999999998E-2</v>
      </c>
      <c r="D85" s="11"/>
      <c r="O85" s="11"/>
    </row>
    <row r="86" spans="2:15" x14ac:dyDescent="0.3">
      <c r="B86" s="6">
        <v>92</v>
      </c>
      <c r="C86" s="11">
        <v>8.1044160000000004E-2</v>
      </c>
      <c r="D86" s="11"/>
      <c r="O86" s="11"/>
    </row>
    <row r="87" spans="2:15" x14ac:dyDescent="0.3">
      <c r="B87" s="6">
        <v>93</v>
      </c>
      <c r="C87" s="11">
        <v>9.2644480000000001E-2</v>
      </c>
      <c r="D87" s="11"/>
      <c r="O87" s="11"/>
    </row>
    <row r="88" spans="2:15" x14ac:dyDescent="0.3">
      <c r="B88" s="6">
        <v>94</v>
      </c>
      <c r="C88" s="11">
        <v>0.1060181</v>
      </c>
      <c r="D88" s="11"/>
      <c r="O88" s="11"/>
    </row>
    <row r="89" spans="2:15" x14ac:dyDescent="0.3">
      <c r="B89" s="6">
        <v>95</v>
      </c>
      <c r="C89" s="11">
        <v>0.12144629999999999</v>
      </c>
      <c r="D89" s="11"/>
      <c r="O89" s="11"/>
    </row>
    <row r="90" spans="2:15" x14ac:dyDescent="0.3">
      <c r="B90" s="6">
        <v>96</v>
      </c>
      <c r="C90" s="11">
        <v>0.13920650000000001</v>
      </c>
      <c r="D90" s="11"/>
      <c r="O90" s="11"/>
    </row>
    <row r="91" spans="2:15" x14ac:dyDescent="0.3">
      <c r="B91" s="6">
        <v>97</v>
      </c>
      <c r="C91" s="11">
        <v>0.1597394</v>
      </c>
      <c r="D91" s="11"/>
      <c r="O91" s="11"/>
    </row>
    <row r="92" spans="2:15" x14ac:dyDescent="0.3">
      <c r="B92" s="6">
        <v>98</v>
      </c>
      <c r="C92" s="11">
        <v>0.18341009999999999</v>
      </c>
      <c r="D92" s="11"/>
      <c r="O92" s="11"/>
    </row>
    <row r="93" spans="2:15" x14ac:dyDescent="0.3">
      <c r="B93" s="6">
        <v>99</v>
      </c>
      <c r="C93" s="11">
        <v>0.21082229999999999</v>
      </c>
      <c r="D93" s="11"/>
      <c r="O93" s="11"/>
    </row>
    <row r="94" spans="2:15" x14ac:dyDescent="0.3">
      <c r="B94" s="6">
        <v>100</v>
      </c>
      <c r="C94" s="11">
        <v>0.28497</v>
      </c>
      <c r="D94" s="11"/>
      <c r="O94" s="11"/>
    </row>
    <row r="95" spans="2:15" x14ac:dyDescent="0.3">
      <c r="B95" s="6">
        <v>101</v>
      </c>
      <c r="C95" s="11">
        <v>0.32308999999999999</v>
      </c>
      <c r="D95" s="11"/>
      <c r="O95" s="11"/>
    </row>
    <row r="96" spans="2:15" x14ac:dyDescent="0.3">
      <c r="B96" s="6">
        <v>102</v>
      </c>
      <c r="C96" s="11">
        <v>0.36630000000000001</v>
      </c>
      <c r="D96" s="11"/>
      <c r="O96" s="11"/>
    </row>
    <row r="97" spans="2:15" x14ac:dyDescent="0.3">
      <c r="B97" s="6">
        <v>103</v>
      </c>
      <c r="C97" s="11">
        <v>0.4153</v>
      </c>
      <c r="D97" s="11"/>
      <c r="O97" s="11"/>
    </row>
    <row r="98" spans="2:15" x14ac:dyDescent="0.3">
      <c r="B98" s="6">
        <v>104</v>
      </c>
      <c r="C98" s="11">
        <v>0.47084999999999999</v>
      </c>
      <c r="D98" s="11"/>
      <c r="O98" s="11"/>
    </row>
    <row r="99" spans="2:15" x14ac:dyDescent="0.3">
      <c r="B99" s="6">
        <v>105</v>
      </c>
      <c r="C99" s="11">
        <v>0.53383000000000003</v>
      </c>
      <c r="D99" s="11"/>
      <c r="O99" s="11"/>
    </row>
    <row r="100" spans="2:15" x14ac:dyDescent="0.3">
      <c r="B100" s="6">
        <v>106</v>
      </c>
      <c r="C100" s="11">
        <v>0.60523000000000005</v>
      </c>
      <c r="D100" s="11"/>
      <c r="O100" s="11"/>
    </row>
    <row r="101" spans="2:15" x14ac:dyDescent="0.3">
      <c r="B101" s="6">
        <v>107</v>
      </c>
      <c r="C101" s="11">
        <v>0.68618000000000001</v>
      </c>
      <c r="D101" s="11"/>
      <c r="O101" s="11"/>
    </row>
    <row r="102" spans="2:15" x14ac:dyDescent="0.3">
      <c r="B102" s="6">
        <v>108</v>
      </c>
      <c r="C102" s="11">
        <v>0.77795999999999998</v>
      </c>
      <c r="D102" s="11"/>
      <c r="O102" s="11"/>
    </row>
    <row r="103" spans="2:15" x14ac:dyDescent="0.3">
      <c r="B103" s="6">
        <v>109</v>
      </c>
      <c r="C103" s="11">
        <v>0.88202000000000003</v>
      </c>
      <c r="D103" s="11"/>
      <c r="O103" s="11"/>
    </row>
    <row r="104" spans="2:15" x14ac:dyDescent="0.3">
      <c r="B104" s="6">
        <v>110</v>
      </c>
      <c r="C104" s="11">
        <v>1</v>
      </c>
      <c r="D104" s="11"/>
      <c r="O10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4E99-7EF8-48A8-9C1B-FF0CAD9A5142}">
  <dimension ref="B2:Y81"/>
  <sheetViews>
    <sheetView showGridLines="0" tabSelected="1" workbookViewId="0">
      <pane xSplit="2" ySplit="10" topLeftCell="C26" activePane="bottomRight" state="frozenSplit"/>
      <selection pane="topRight" activeCell="H1" sqref="H1"/>
      <selection pane="bottomLeft" activeCell="A12" sqref="A12"/>
      <selection pane="bottomRight" activeCell="D5" sqref="D5"/>
    </sheetView>
  </sheetViews>
  <sheetFormatPr baseColWidth="10" defaultRowHeight="14.4" x14ac:dyDescent="0.3"/>
  <cols>
    <col min="1" max="1" width="6.77734375" customWidth="1"/>
    <col min="4" max="4" width="17.21875" customWidth="1"/>
    <col min="6" max="6" width="14.33203125" bestFit="1" customWidth="1"/>
    <col min="8" max="8" width="14.44140625" style="11" customWidth="1"/>
    <col min="9" max="9" width="16.88671875" bestFit="1" customWidth="1"/>
    <col min="10" max="10" width="15.5546875" style="11" bestFit="1" customWidth="1"/>
    <col min="11" max="11" width="9.88671875" style="11" bestFit="1" customWidth="1"/>
    <col min="13" max="13" width="12.5546875" bestFit="1" customWidth="1"/>
    <col min="14" max="14" width="13.77734375" bestFit="1" customWidth="1"/>
    <col min="15" max="15" width="9.88671875" bestFit="1" customWidth="1"/>
    <col min="16" max="16" width="12.77734375" bestFit="1" customWidth="1"/>
    <col min="17" max="17" width="14.77734375" bestFit="1" customWidth="1"/>
    <col min="19" max="19" width="12.77734375" bestFit="1" customWidth="1"/>
    <col min="21" max="21" width="14.77734375" bestFit="1" customWidth="1"/>
    <col min="25" max="25" width="12.77734375" bestFit="1" customWidth="1"/>
  </cols>
  <sheetData>
    <row r="2" spans="2:25" ht="15.6" x14ac:dyDescent="0.3">
      <c r="B2" s="28" t="s">
        <v>36</v>
      </c>
      <c r="C2">
        <v>25</v>
      </c>
      <c r="D2" s="18" t="s">
        <v>66</v>
      </c>
      <c r="E2">
        <f>+C3-C2</f>
        <v>15</v>
      </c>
      <c r="O2" s="8" t="s">
        <v>50</v>
      </c>
      <c r="P2" s="8"/>
      <c r="Q2" s="7" t="s">
        <v>16</v>
      </c>
      <c r="R2" s="6"/>
      <c r="S2" s="8" t="s">
        <v>17</v>
      </c>
      <c r="T2" s="6"/>
      <c r="U2" s="7" t="s">
        <v>58</v>
      </c>
    </row>
    <row r="3" spans="2:25" ht="15.6" x14ac:dyDescent="0.3">
      <c r="B3" s="28" t="s">
        <v>37</v>
      </c>
      <c r="C3">
        <v>40</v>
      </c>
      <c r="D3" s="18" t="s">
        <v>67</v>
      </c>
      <c r="E3">
        <f>+C4-C3</f>
        <v>20</v>
      </c>
      <c r="M3" s="3" t="s">
        <v>48</v>
      </c>
      <c r="N3" s="10">
        <f>N6*E2/E4</f>
        <v>428961.99424097448</v>
      </c>
      <c r="O3" s="7">
        <v>100</v>
      </c>
      <c r="P3" s="7" t="s">
        <v>55</v>
      </c>
      <c r="Q3" s="2">
        <f>+N3*O3</f>
        <v>42896199.424097449</v>
      </c>
      <c r="R3" s="6" t="s">
        <v>54</v>
      </c>
      <c r="S3" s="10">
        <f>+S6</f>
        <v>3057677.3366452586</v>
      </c>
      <c r="T3" s="6" t="s">
        <v>55</v>
      </c>
      <c r="U3" s="10">
        <f>S3+Q3</f>
        <v>45953876.760742709</v>
      </c>
      <c r="X3" t="s">
        <v>56</v>
      </c>
    </row>
    <row r="4" spans="2:25" ht="15.6" x14ac:dyDescent="0.3">
      <c r="B4" s="28" t="s">
        <v>38</v>
      </c>
      <c r="C4">
        <v>60</v>
      </c>
      <c r="D4" s="18" t="s">
        <v>68</v>
      </c>
      <c r="E4">
        <f>+E3+E2</f>
        <v>35</v>
      </c>
      <c r="M4" s="3" t="s">
        <v>49</v>
      </c>
      <c r="N4" s="10">
        <f>N6/E4</f>
        <v>28597.466282731632</v>
      </c>
      <c r="O4" s="7">
        <v>100</v>
      </c>
      <c r="P4" s="7" t="s">
        <v>55</v>
      </c>
      <c r="Q4" s="2">
        <f>+N4*O4</f>
        <v>2859746.628273163</v>
      </c>
      <c r="R4" s="6"/>
      <c r="T4" s="6"/>
      <c r="U4" s="10">
        <f>S4+Q4</f>
        <v>2859746.628273163</v>
      </c>
      <c r="X4" t="s">
        <v>52</v>
      </c>
      <c r="Y4" s="10">
        <f>U4*1.085</f>
        <v>3102825.0916763819</v>
      </c>
    </row>
    <row r="5" spans="2:25" ht="15" thickBot="1" x14ac:dyDescent="0.35">
      <c r="M5" s="3"/>
      <c r="O5" s="7"/>
      <c r="P5" s="7"/>
      <c r="Q5" s="2"/>
      <c r="R5" s="6"/>
      <c r="T5" s="6"/>
      <c r="X5" t="s">
        <v>53</v>
      </c>
      <c r="Y5" s="44">
        <f>(U3-P38/2)*0.085</f>
        <v>3898882.719163131</v>
      </c>
    </row>
    <row r="6" spans="2:25" x14ac:dyDescent="0.3">
      <c r="M6" s="3" t="s">
        <v>51</v>
      </c>
      <c r="N6" s="3">
        <f>SUM(N11:N81)</f>
        <v>1000911.3198956071</v>
      </c>
      <c r="O6" s="7">
        <v>100</v>
      </c>
      <c r="P6" s="7" t="s">
        <v>55</v>
      </c>
      <c r="Q6" s="2">
        <f>+N6*O6</f>
        <v>100091131.98956071</v>
      </c>
      <c r="R6" s="6" t="s">
        <v>54</v>
      </c>
      <c r="S6" s="3">
        <f>SUM(S11:S81)</f>
        <v>3057677.3366452586</v>
      </c>
      <c r="T6" s="6" t="s">
        <v>55</v>
      </c>
      <c r="U6" s="10">
        <f>S6+Q6</f>
        <v>103148809.32620597</v>
      </c>
      <c r="X6" t="s">
        <v>56</v>
      </c>
      <c r="Y6" s="10">
        <f>+Y5+Y4</f>
        <v>7001707.8108395133</v>
      </c>
    </row>
    <row r="7" spans="2:25" x14ac:dyDescent="0.3">
      <c r="N7" s="3"/>
      <c r="O7" s="6"/>
      <c r="P7" s="6"/>
      <c r="Q7" s="2"/>
      <c r="R7" s="6"/>
      <c r="S7" s="3"/>
      <c r="T7" s="48"/>
      <c r="U7" s="10"/>
      <c r="Y7" s="10"/>
    </row>
    <row r="8" spans="2:25" x14ac:dyDescent="0.3">
      <c r="B8" s="51" t="s">
        <v>63</v>
      </c>
      <c r="C8" s="51"/>
      <c r="D8" s="23"/>
      <c r="E8" s="23"/>
      <c r="F8" s="23"/>
      <c r="G8" s="23"/>
      <c r="H8" s="54"/>
      <c r="I8" s="23"/>
      <c r="J8" s="54"/>
      <c r="K8" s="54"/>
      <c r="L8" s="23"/>
      <c r="M8" s="23"/>
      <c r="N8" s="50"/>
      <c r="O8" s="6"/>
      <c r="P8" s="51" t="s">
        <v>62</v>
      </c>
      <c r="Q8" s="52"/>
      <c r="R8" s="51"/>
      <c r="S8" s="53"/>
      <c r="T8" s="48"/>
      <c r="U8" s="10"/>
      <c r="Y8" s="10"/>
    </row>
    <row r="9" spans="2:25" x14ac:dyDescent="0.3">
      <c r="B9" s="14"/>
      <c r="C9" s="14" t="s">
        <v>32</v>
      </c>
      <c r="D9" s="14" t="s">
        <v>39</v>
      </c>
      <c r="E9" s="14" t="s">
        <v>12</v>
      </c>
      <c r="F9" s="14"/>
      <c r="G9" s="14"/>
      <c r="H9" s="46"/>
      <c r="I9" s="14"/>
      <c r="J9" s="46" t="s">
        <v>7</v>
      </c>
      <c r="K9" s="46" t="s">
        <v>44</v>
      </c>
      <c r="L9" s="14" t="s">
        <v>45</v>
      </c>
      <c r="M9" s="14" t="s">
        <v>43</v>
      </c>
      <c r="N9" s="14"/>
      <c r="P9" s="20" t="s">
        <v>59</v>
      </c>
      <c r="Q9" s="14"/>
      <c r="R9" s="14"/>
      <c r="S9" s="21"/>
    </row>
    <row r="10" spans="2:25" ht="15" thickBot="1" x14ac:dyDescent="0.35">
      <c r="B10" s="16" t="s">
        <v>35</v>
      </c>
      <c r="C10" s="16" t="s">
        <v>33</v>
      </c>
      <c r="D10" s="16" t="s">
        <v>40</v>
      </c>
      <c r="E10" s="16" t="s">
        <v>41</v>
      </c>
      <c r="F10" s="16" t="s">
        <v>15</v>
      </c>
      <c r="G10" s="16" t="s">
        <v>42</v>
      </c>
      <c r="H10" s="45" t="s">
        <v>43</v>
      </c>
      <c r="I10" s="16" t="s">
        <v>46</v>
      </c>
      <c r="J10" s="45" t="s">
        <v>17</v>
      </c>
      <c r="K10" s="45" t="s">
        <v>17</v>
      </c>
      <c r="L10" s="45" t="s">
        <v>17</v>
      </c>
      <c r="M10" s="45" t="s">
        <v>17</v>
      </c>
      <c r="N10" s="47" t="s">
        <v>47</v>
      </c>
      <c r="P10" s="49" t="s">
        <v>33</v>
      </c>
      <c r="Q10" s="16" t="s">
        <v>45</v>
      </c>
      <c r="R10" s="16" t="s">
        <v>43</v>
      </c>
      <c r="S10" s="47" t="s">
        <v>57</v>
      </c>
    </row>
    <row r="11" spans="2:25" x14ac:dyDescent="0.3">
      <c r="B11">
        <v>40</v>
      </c>
      <c r="C11" s="1">
        <f t="shared" ref="C11:C34" si="0">+C12/1.01</f>
        <v>129441.56153696806</v>
      </c>
      <c r="D11" s="10">
        <f>C11*1.06^(B11-$B$11)</f>
        <v>129441.56153696806</v>
      </c>
      <c r="E11" s="5">
        <f>VLOOKUP(B11,Decrementos!$B$9:$H$104,7)</f>
        <v>0</v>
      </c>
      <c r="F11" s="5">
        <f>VLOOKUP(B11,Decrementos!$B$9:$O$104,14,0)</f>
        <v>0.92565314158430001</v>
      </c>
      <c r="G11" s="26">
        <v>1</v>
      </c>
      <c r="H11" s="11">
        <f>1.085^($B$11-B11)</f>
        <v>1</v>
      </c>
      <c r="I11" s="43"/>
    </row>
    <row r="12" spans="2:25" x14ac:dyDescent="0.3">
      <c r="B12">
        <v>41</v>
      </c>
      <c r="C12" s="1">
        <f t="shared" si="0"/>
        <v>130735.97715233774</v>
      </c>
      <c r="D12" s="10">
        <f>C12*1.06^(B12-$B$11)</f>
        <v>138580.13578147802</v>
      </c>
      <c r="E12" s="5">
        <f>VLOOKUP(B12,Decrementos!$B$9:$H$104,7)</f>
        <v>0</v>
      </c>
      <c r="F12" s="5">
        <f>VLOOKUP(B12,Decrementos!$B$9:$O$104,14,0)</f>
        <v>0.93135697750724999</v>
      </c>
      <c r="G12" s="26">
        <f>G11*F11</f>
        <v>0.92565314158430001</v>
      </c>
      <c r="H12" s="11">
        <f>1.085^($B$11-B12)</f>
        <v>0.92165898617511521</v>
      </c>
      <c r="I12" s="43"/>
    </row>
    <row r="13" spans="2:25" x14ac:dyDescent="0.3">
      <c r="B13">
        <v>42</v>
      </c>
      <c r="C13" s="1">
        <f t="shared" si="0"/>
        <v>132043.33692386112</v>
      </c>
      <c r="D13" s="10">
        <f>C13*1.06^(B13-$B$11)</f>
        <v>148363.89336765037</v>
      </c>
      <c r="E13" s="5">
        <f>VLOOKUP(B13,Decrementos!$B$9:$H$104,7)</f>
        <v>0</v>
      </c>
      <c r="F13" s="5">
        <f>VLOOKUP(B13,Decrementos!$B$9:$O$104,14,0)</f>
        <v>0.93504197360999997</v>
      </c>
      <c r="G13" s="26">
        <f t="shared" ref="G13:G31" si="1">G12*F12</f>
        <v>0.86211351216604415</v>
      </c>
      <c r="H13" s="11">
        <f t="shared" ref="H13:H31" si="2">1.085^($B$11-B13)</f>
        <v>0.84945528679734128</v>
      </c>
      <c r="I13" s="43"/>
    </row>
    <row r="14" spans="2:25" x14ac:dyDescent="0.3">
      <c r="B14">
        <v>43</v>
      </c>
      <c r="C14" s="1">
        <f t="shared" si="0"/>
        <v>133363.77029309972</v>
      </c>
      <c r="D14" s="10">
        <f t="shared" ref="D14:D77" si="3">C14*1.06^(B14-$B$11)</f>
        <v>158838.3842394065</v>
      </c>
      <c r="E14" s="5">
        <f>VLOOKUP(B14,Decrementos!$B$9:$H$104,7)</f>
        <v>0</v>
      </c>
      <c r="F14" s="5">
        <f>VLOOKUP(B14,Decrementos!$B$9:$O$104,14,0)</f>
        <v>0.94070179941612497</v>
      </c>
      <c r="G14" s="26">
        <f t="shared" si="1"/>
        <v>0.8061123198915866</v>
      </c>
      <c r="H14" s="11">
        <f t="shared" si="2"/>
        <v>0.78290809843072917</v>
      </c>
      <c r="I14" s="43"/>
    </row>
    <row r="15" spans="2:25" x14ac:dyDescent="0.3">
      <c r="B15">
        <v>44</v>
      </c>
      <c r="C15" s="1">
        <f t="shared" si="0"/>
        <v>134697.40799603073</v>
      </c>
      <c r="D15" s="10">
        <f t="shared" si="3"/>
        <v>170052.37416670861</v>
      </c>
      <c r="E15" s="5">
        <f>VLOOKUP(B15,Decrementos!$B$9:$H$104,7)</f>
        <v>0</v>
      </c>
      <c r="F15" s="5">
        <f>VLOOKUP(B15,Decrementos!$B$9:$O$104,14,0)</f>
        <v>0.94733185302404999</v>
      </c>
      <c r="G15" s="26">
        <f t="shared" si="1"/>
        <v>0.75831130985352246</v>
      </c>
      <c r="H15" s="11">
        <f t="shared" si="2"/>
        <v>0.72157428426795334</v>
      </c>
      <c r="I15" s="43"/>
    </row>
    <row r="16" spans="2:25" x14ac:dyDescent="0.3">
      <c r="B16">
        <v>45</v>
      </c>
      <c r="C16" s="1">
        <f t="shared" si="0"/>
        <v>136044.38207599104</v>
      </c>
      <c r="D16" s="10">
        <f t="shared" si="3"/>
        <v>182058.07178287828</v>
      </c>
      <c r="E16" s="5">
        <f>VLOOKUP(B16,Decrementos!$B$9:$H$104,7)</f>
        <v>0</v>
      </c>
      <c r="F16" s="5">
        <f>VLOOKUP(B16,Decrementos!$B$9:$O$104,14,0)</f>
        <v>0.95292628292899995</v>
      </c>
      <c r="G16" s="26">
        <f t="shared" si="1"/>
        <v>0.71837245833263197</v>
      </c>
      <c r="H16" s="11">
        <f t="shared" si="2"/>
        <v>0.66504542328843619</v>
      </c>
      <c r="I16" s="43"/>
    </row>
    <row r="17" spans="2:14" x14ac:dyDescent="0.3">
      <c r="B17">
        <v>46</v>
      </c>
      <c r="C17" s="1">
        <f t="shared" si="0"/>
        <v>137404.82589675096</v>
      </c>
      <c r="D17" s="10">
        <f t="shared" si="3"/>
        <v>194911.3716507495</v>
      </c>
      <c r="E17" s="5">
        <f>VLOOKUP(B17,Decrementos!$B$9:$H$104,7)</f>
        <v>0</v>
      </c>
      <c r="F17" s="5">
        <f>VLOOKUP(B17,Decrementos!$B$9:$O$104,14,0)</f>
        <v>0.95948921461780001</v>
      </c>
      <c r="G17" s="26">
        <f t="shared" si="1"/>
        <v>0.68455599647748289</v>
      </c>
      <c r="H17" s="11">
        <f t="shared" si="2"/>
        <v>0.6129450905884205</v>
      </c>
      <c r="I17" s="43"/>
    </row>
    <row r="18" spans="2:14" x14ac:dyDescent="0.3">
      <c r="B18">
        <v>47</v>
      </c>
      <c r="C18" s="1">
        <f t="shared" si="0"/>
        <v>138778.87415571848</v>
      </c>
      <c r="D18" s="10">
        <f t="shared" si="3"/>
        <v>208672.11448929246</v>
      </c>
      <c r="E18" s="5">
        <f>VLOOKUP(B18,Decrementos!$B$9:$H$104,7)</f>
        <v>0</v>
      </c>
      <c r="F18" s="5">
        <f>VLOOKUP(B18,Decrementos!$B$9:$O$104,14,0)</f>
        <v>0.96498702143040005</v>
      </c>
      <c r="G18" s="26">
        <f t="shared" si="1"/>
        <v>0.65682409542208553</v>
      </c>
      <c r="H18" s="11">
        <f t="shared" si="2"/>
        <v>0.56492635077273778</v>
      </c>
      <c r="I18" s="43"/>
    </row>
    <row r="19" spans="2:14" x14ac:dyDescent="0.3">
      <c r="B19">
        <v>48</v>
      </c>
      <c r="C19" s="1">
        <f t="shared" si="0"/>
        <v>140166.66289727567</v>
      </c>
      <c r="D19" s="10">
        <f t="shared" si="3"/>
        <v>223404.36577223649</v>
      </c>
      <c r="E19" s="5">
        <f>VLOOKUP(B19,Decrementos!$B$9:$H$104,7)</f>
        <v>0</v>
      </c>
      <c r="F19" s="5">
        <f>VLOOKUP(B19,Decrementos!$B$9:$O$104,14,0)</f>
        <v>0.97043059142385002</v>
      </c>
      <c r="G19" s="26">
        <f t="shared" si="1"/>
        <v>0.63382672744507518</v>
      </c>
      <c r="H19" s="11">
        <f t="shared" si="2"/>
        <v>0.52066944771680901</v>
      </c>
      <c r="I19" s="43"/>
    </row>
    <row r="20" spans="2:14" x14ac:dyDescent="0.3">
      <c r="B20">
        <v>49</v>
      </c>
      <c r="C20" s="1">
        <f t="shared" si="0"/>
        <v>141568.32952624842</v>
      </c>
      <c r="D20" s="10">
        <f t="shared" si="3"/>
        <v>239176.71399575635</v>
      </c>
      <c r="E20" s="5">
        <f>VLOOKUP(B20,Decrementos!$B$9:$H$104,7)</f>
        <v>0</v>
      </c>
      <c r="F20" s="5">
        <f>VLOOKUP(B20,Decrementos!$B$9:$O$104,14,0)</f>
        <v>0.97577991744387504</v>
      </c>
      <c r="G20" s="26">
        <f t="shared" si="1"/>
        <v>0.61508484597476765</v>
      </c>
      <c r="H20" s="11">
        <f t="shared" si="2"/>
        <v>0.4798796753150314</v>
      </c>
      <c r="I20" s="43"/>
    </row>
    <row r="21" spans="2:14" x14ac:dyDescent="0.3">
      <c r="B21">
        <v>50</v>
      </c>
      <c r="C21" s="1">
        <f t="shared" si="0"/>
        <v>142984.0128215109</v>
      </c>
      <c r="D21" s="10">
        <f t="shared" si="3"/>
        <v>256062.59000385678</v>
      </c>
      <c r="E21" s="5">
        <f>VLOOKUP(B21,Decrementos!$B$9:$H$104,7)</f>
        <v>0</v>
      </c>
      <c r="F21" s="5">
        <f>VLOOKUP(B21,Decrementos!$B$9:$O$104,14,0)</f>
        <v>0.97905362747222502</v>
      </c>
      <c r="G21" s="26">
        <f t="shared" si="1"/>
        <v>0.60018744022623738</v>
      </c>
      <c r="H21" s="11">
        <f t="shared" si="2"/>
        <v>0.44228541503689528</v>
      </c>
      <c r="I21" s="43"/>
    </row>
    <row r="22" spans="2:14" x14ac:dyDescent="0.3">
      <c r="B22">
        <v>51</v>
      </c>
      <c r="C22" s="1">
        <f t="shared" si="0"/>
        <v>144413.85294972602</v>
      </c>
      <c r="D22" s="10">
        <f t="shared" si="3"/>
        <v>274140.60885812913</v>
      </c>
      <c r="E22" s="5">
        <f>VLOOKUP(B22,Decrementos!$B$9:$H$104,7)</f>
        <v>0</v>
      </c>
      <c r="F22" s="5">
        <f>VLOOKUP(B22,Decrementos!$B$9:$O$104,14,0)</f>
        <v>0.97922638580999999</v>
      </c>
      <c r="G22" s="26">
        <f t="shared" si="1"/>
        <v>0.58761569051676699</v>
      </c>
      <c r="H22" s="11">
        <f t="shared" si="2"/>
        <v>0.40763632722294496</v>
      </c>
      <c r="I22" s="43"/>
    </row>
    <row r="23" spans="2:14" x14ac:dyDescent="0.3">
      <c r="B23">
        <v>52</v>
      </c>
      <c r="C23" s="1">
        <f t="shared" si="0"/>
        <v>145857.99147922327</v>
      </c>
      <c r="D23" s="10">
        <f t="shared" si="3"/>
        <v>293494.93584351306</v>
      </c>
      <c r="E23" s="5">
        <f>VLOOKUP(B23,Decrementos!$B$9:$H$104,7)</f>
        <v>0</v>
      </c>
      <c r="F23" s="5">
        <f>VLOOKUP(B23,Decrementos!$B$9:$O$104,14,0)</f>
        <v>0.98322250340674999</v>
      </c>
      <c r="G23" s="26">
        <f t="shared" si="1"/>
        <v>0.57540878886998126</v>
      </c>
      <c r="H23" s="11">
        <f t="shared" si="2"/>
        <v>0.37570168407644705</v>
      </c>
      <c r="I23" s="43"/>
    </row>
    <row r="24" spans="2:14" x14ac:dyDescent="0.3">
      <c r="B24">
        <v>53</v>
      </c>
      <c r="C24" s="1">
        <f t="shared" si="0"/>
        <v>147316.57139401551</v>
      </c>
      <c r="D24" s="10">
        <f t="shared" si="3"/>
        <v>314215.6783140651</v>
      </c>
      <c r="E24" s="5">
        <f>VLOOKUP(B24,Decrementos!$B$9:$H$104,7)</f>
        <v>0</v>
      </c>
      <c r="F24" s="5">
        <f>VLOOKUP(B24,Decrementos!$B$9:$O$104,14,0)</f>
        <v>0.98410934880750001</v>
      </c>
      <c r="G24" s="26">
        <f t="shared" si="1"/>
        <v>0.56575486987498902</v>
      </c>
      <c r="H24" s="11">
        <f t="shared" si="2"/>
        <v>0.3462688332501816</v>
      </c>
      <c r="I24" s="43"/>
    </row>
    <row r="25" spans="2:14" x14ac:dyDescent="0.3">
      <c r="B25">
        <v>54</v>
      </c>
      <c r="C25" s="1">
        <f t="shared" si="0"/>
        <v>148789.73710795568</v>
      </c>
      <c r="D25" s="10">
        <f t="shared" si="3"/>
        <v>336399.30520303809</v>
      </c>
      <c r="E25" s="5">
        <f>VLOOKUP(B25,Decrementos!$B$9:$H$104,7)</f>
        <v>0</v>
      </c>
      <c r="F25" s="5">
        <f>VLOOKUP(B25,Decrementos!$B$9:$O$104,14,0)</f>
        <v>0.98481394809845002</v>
      </c>
      <c r="G25" s="26">
        <f t="shared" si="1"/>
        <v>0.55676465657734731</v>
      </c>
      <c r="H25" s="11">
        <f t="shared" si="2"/>
        <v>0.31914178179740244</v>
      </c>
      <c r="I25" s="43"/>
    </row>
    <row r="26" spans="2:14" x14ac:dyDescent="0.3">
      <c r="B26">
        <v>55</v>
      </c>
      <c r="C26" s="1">
        <f t="shared" si="0"/>
        <v>150277.63447903525</v>
      </c>
      <c r="D26" s="10">
        <f t="shared" si="3"/>
        <v>360149.09615037276</v>
      </c>
      <c r="E26" s="5">
        <f>VLOOKUP(B26,Decrementos!$B$9:$H$104,7)</f>
        <v>0</v>
      </c>
      <c r="F26" s="5">
        <f>VLOOKUP(B26,Decrementos!$B$9:$O$104,14,0)</f>
        <v>0.97730331596650399</v>
      </c>
      <c r="G26" s="26">
        <f t="shared" si="1"/>
        <v>0.54830959960561509</v>
      </c>
      <c r="H26" s="11">
        <f t="shared" si="2"/>
        <v>0.2941398910575137</v>
      </c>
      <c r="I26" s="43"/>
    </row>
    <row r="27" spans="2:14" x14ac:dyDescent="0.3">
      <c r="B27">
        <v>56</v>
      </c>
      <c r="C27" s="1">
        <f t="shared" si="0"/>
        <v>151780.4108238256</v>
      </c>
      <c r="D27" s="10">
        <f t="shared" si="3"/>
        <v>385575.62233858899</v>
      </c>
      <c r="E27" s="5">
        <f>VLOOKUP(B27,Decrementos!$B$9:$H$104,7)</f>
        <v>0</v>
      </c>
      <c r="F27" s="5">
        <f>VLOOKUP(B27,Decrementos!$B$9:$O$104,14,0)</f>
        <v>0.97560038549456396</v>
      </c>
      <c r="G27" s="26">
        <f t="shared" si="1"/>
        <v>0.53586478987083375</v>
      </c>
      <c r="H27" s="11">
        <f t="shared" si="2"/>
        <v>0.27109667378572694</v>
      </c>
      <c r="I27" s="43"/>
    </row>
    <row r="28" spans="2:14" x14ac:dyDescent="0.3">
      <c r="B28">
        <v>57</v>
      </c>
      <c r="C28" s="1">
        <f t="shared" si="0"/>
        <v>153298.21493206386</v>
      </c>
      <c r="D28" s="10">
        <f t="shared" si="3"/>
        <v>412797.26127569337</v>
      </c>
      <c r="E28" s="5">
        <f>VLOOKUP(B28,Decrementos!$B$9:$H$104,7)</f>
        <v>0</v>
      </c>
      <c r="F28" s="5">
        <f>VLOOKUP(B28,Decrementos!$B$9:$O$104,14,0)</f>
        <v>0.97416413262290302</v>
      </c>
      <c r="G28" s="26">
        <f t="shared" si="1"/>
        <v>0.5227898955709489</v>
      </c>
      <c r="H28" s="11">
        <f t="shared" si="2"/>
        <v>0.24985868551679907</v>
      </c>
      <c r="I28" s="43"/>
    </row>
    <row r="29" spans="2:14" x14ac:dyDescent="0.3">
      <c r="B29">
        <v>58</v>
      </c>
      <c r="C29" s="1">
        <f t="shared" si="0"/>
        <v>154831.19708138448</v>
      </c>
      <c r="D29" s="10">
        <f t="shared" si="3"/>
        <v>441940.74792175728</v>
      </c>
      <c r="E29" s="5">
        <f>VLOOKUP(B29,Decrementos!$B$9:$H$104,7)</f>
        <v>0</v>
      </c>
      <c r="F29" s="5">
        <f>VLOOKUP(B29,Decrementos!$B$9:$O$104,14,0)</f>
        <v>0.97263057019125498</v>
      </c>
      <c r="G29" s="26">
        <f t="shared" si="1"/>
        <v>0.50928316516289152</v>
      </c>
      <c r="H29" s="11">
        <f t="shared" si="2"/>
        <v>0.23028450278045995</v>
      </c>
      <c r="I29" s="43"/>
    </row>
    <row r="30" spans="2:14" x14ac:dyDescent="0.3">
      <c r="B30">
        <v>59</v>
      </c>
      <c r="C30" s="1">
        <f t="shared" si="0"/>
        <v>156379.50905219832</v>
      </c>
      <c r="D30" s="10">
        <f t="shared" si="3"/>
        <v>473141.76472503343</v>
      </c>
      <c r="E30" s="5">
        <f>VLOOKUP(B30,Decrementos!$B$9:$H$104,7)</f>
        <v>0</v>
      </c>
      <c r="F30" s="5">
        <f>VLOOKUP(B30,Decrementos!$B$9:$O$104,14,0)</f>
        <v>0.97099008768336803</v>
      </c>
      <c r="G30" s="26">
        <f t="shared" si="1"/>
        <v>0.49534437532119024</v>
      </c>
      <c r="H30" s="11">
        <f t="shared" si="2"/>
        <v>0.21224378136447922</v>
      </c>
      <c r="I30" s="43"/>
    </row>
    <row r="31" spans="2:14" x14ac:dyDescent="0.3">
      <c r="B31">
        <v>60</v>
      </c>
      <c r="C31" s="1">
        <f t="shared" si="0"/>
        <v>157943.3041427203</v>
      </c>
      <c r="D31" s="10">
        <f t="shared" si="3"/>
        <v>506545.57331462076</v>
      </c>
      <c r="E31" s="5">
        <f>VLOOKUP(B31,Decrementos!$B$9:$H$104,7)</f>
        <v>1</v>
      </c>
      <c r="F31" s="5">
        <f>VLOOKUP(B31,Decrementos!$B$9:$O$104,14,0)</f>
        <v>0</v>
      </c>
      <c r="G31" s="26">
        <f t="shared" si="1"/>
        <v>0.48097447842658569</v>
      </c>
      <c r="H31" s="11">
        <f t="shared" si="2"/>
        <v>0.19561638835435877</v>
      </c>
      <c r="I31" s="43">
        <f>+D31</f>
        <v>506545.57331462076</v>
      </c>
      <c r="J31" s="11">
        <f>VLOOKUP(B31,Decrementos!$B$9:$C$104,2,0)</f>
        <v>9.1391800000000002E-3</v>
      </c>
      <c r="K31" s="11">
        <f>1-J31</f>
        <v>0.99086081999999998</v>
      </c>
      <c r="L31" s="26">
        <v>1</v>
      </c>
      <c r="M31">
        <f>1.085^($B$31-B31)</f>
        <v>1</v>
      </c>
      <c r="N31" s="10">
        <f>I31*L31*M31*$G$31*$H$31*$E$31</f>
        <v>47659.095200784621</v>
      </c>
    </row>
    <row r="32" spans="2:14" x14ac:dyDescent="0.3">
      <c r="B32">
        <v>61</v>
      </c>
      <c r="C32" s="1">
        <f t="shared" si="0"/>
        <v>159522.7371841475</v>
      </c>
      <c r="D32" s="10">
        <f t="shared" si="3"/>
        <v>542307.69079063309</v>
      </c>
      <c r="E32" s="5"/>
      <c r="F32" s="5"/>
      <c r="G32" s="26"/>
      <c r="I32" s="43">
        <f>+D32</f>
        <v>542307.69079063309</v>
      </c>
      <c r="J32" s="11">
        <f>VLOOKUP(B32,Decrementos!$B$9:$C$104,2,0)</f>
        <v>9.6293709999999994E-3</v>
      </c>
      <c r="K32" s="11">
        <f t="shared" ref="K32:K81" si="4">1-J32</f>
        <v>0.99037062899999995</v>
      </c>
      <c r="L32" s="26">
        <f>+L31*K31</f>
        <v>0.99086081999999998</v>
      </c>
      <c r="M32">
        <f>1.085^($B$31-B32)</f>
        <v>0.92165898617511521</v>
      </c>
      <c r="N32" s="10">
        <f t="shared" ref="N32:N81" si="5">I32*L32*M32*$G$31*$H$31*$E$31</f>
        <v>46596.784681820936</v>
      </c>
    </row>
    <row r="33" spans="2:20" x14ac:dyDescent="0.3">
      <c r="B33">
        <v>62</v>
      </c>
      <c r="C33" s="1">
        <f t="shared" si="0"/>
        <v>161117.96455598896</v>
      </c>
      <c r="D33" s="10">
        <f t="shared" si="3"/>
        <v>580594.61376045179</v>
      </c>
      <c r="E33" s="5"/>
      <c r="F33" s="5"/>
      <c r="G33" s="26"/>
      <c r="I33" s="43">
        <f t="shared" ref="I33:I81" si="6">+D33</f>
        <v>580594.61376045179</v>
      </c>
      <c r="J33" s="11">
        <f>VLOOKUP(B33,Decrementos!$B$9:$C$104,2,0)</f>
        <v>1.0145059999999999E-2</v>
      </c>
      <c r="K33" s="11">
        <f t="shared" si="4"/>
        <v>0.98985493999999996</v>
      </c>
      <c r="L33" s="26">
        <f t="shared" ref="L33:L81" si="7">+L32*K32</f>
        <v>0.98131945355485573</v>
      </c>
      <c r="M33">
        <f t="shared" ref="M33:M81" si="8">1.085^($B$31-B33)</f>
        <v>0.84945528679734128</v>
      </c>
      <c r="N33" s="10">
        <f t="shared" si="5"/>
        <v>45535.614648585513</v>
      </c>
    </row>
    <row r="34" spans="2:20" x14ac:dyDescent="0.3">
      <c r="B34">
        <v>63</v>
      </c>
      <c r="C34" s="1">
        <f t="shared" si="0"/>
        <v>162729.14420154886</v>
      </c>
      <c r="D34" s="10">
        <f t="shared" si="3"/>
        <v>621584.59349193971</v>
      </c>
      <c r="E34" s="5"/>
      <c r="F34" s="5"/>
      <c r="G34" s="26"/>
      <c r="I34" s="43">
        <f t="shared" si="6"/>
        <v>621584.59349193971</v>
      </c>
      <c r="J34" s="11">
        <f>VLOOKUP(B34,Decrementos!$B$9:$C$104,2,0)</f>
        <v>1.0710910000000001E-2</v>
      </c>
      <c r="K34" s="11">
        <f t="shared" si="4"/>
        <v>0.98928908999999998</v>
      </c>
      <c r="L34" s="26">
        <f t="shared" si="7"/>
        <v>0.97136390881937451</v>
      </c>
      <c r="M34">
        <f t="shared" si="8"/>
        <v>0.78290809843072917</v>
      </c>
      <c r="N34" s="10">
        <f t="shared" si="5"/>
        <v>44475.440566922523</v>
      </c>
    </row>
    <row r="35" spans="2:20" x14ac:dyDescent="0.3">
      <c r="B35">
        <v>64</v>
      </c>
      <c r="C35" s="1">
        <f>+C36/1.01</f>
        <v>164356.43564356436</v>
      </c>
      <c r="D35" s="10">
        <f t="shared" si="3"/>
        <v>665468.46579247061</v>
      </c>
      <c r="E35" s="5"/>
      <c r="F35" s="5"/>
      <c r="G35" s="26"/>
      <c r="I35" s="43">
        <f t="shared" si="6"/>
        <v>665468.46579247061</v>
      </c>
      <c r="J35" s="11">
        <f>VLOOKUP(B35,Decrementos!$B$9:$C$104,2,0)</f>
        <v>1.1319610000000001E-2</v>
      </c>
      <c r="K35" s="11">
        <f t="shared" si="4"/>
        <v>0.98868038999999996</v>
      </c>
      <c r="L35" s="26">
        <f t="shared" si="7"/>
        <v>0.96095971741476194</v>
      </c>
      <c r="M35">
        <f t="shared" si="8"/>
        <v>0.72157428426795334</v>
      </c>
      <c r="N35" s="10">
        <f t="shared" si="5"/>
        <v>43415.117359890646</v>
      </c>
    </row>
    <row r="36" spans="2:20" x14ac:dyDescent="0.3">
      <c r="B36">
        <v>65</v>
      </c>
      <c r="C36" s="59">
        <v>166000</v>
      </c>
      <c r="D36" s="10">
        <f t="shared" si="3"/>
        <v>712450.53947741899</v>
      </c>
      <c r="E36" s="5"/>
      <c r="F36" s="5"/>
      <c r="G36" s="26"/>
      <c r="I36" s="43">
        <f t="shared" si="6"/>
        <v>712450.53947741899</v>
      </c>
      <c r="J36" s="11">
        <f>VLOOKUP(B36,Decrementos!$B$9:$C$104,2,0)</f>
        <v>1.197995E-2</v>
      </c>
      <c r="K36" s="11">
        <f t="shared" si="4"/>
        <v>0.98802005000000004</v>
      </c>
      <c r="L36" s="26">
        <f t="shared" si="7"/>
        <v>0.95008202818791654</v>
      </c>
      <c r="M36">
        <f t="shared" si="8"/>
        <v>0.66504542328843619</v>
      </c>
      <c r="N36" s="10">
        <f t="shared" si="5"/>
        <v>42353.996893824406</v>
      </c>
    </row>
    <row r="37" spans="2:20" x14ac:dyDescent="0.3">
      <c r="B37">
        <v>66</v>
      </c>
      <c r="C37" s="10">
        <f>C36*1.01</f>
        <v>167660</v>
      </c>
      <c r="D37" s="10">
        <f t="shared" si="3"/>
        <v>762749.54756452492</v>
      </c>
      <c r="E37" s="5"/>
      <c r="I37" s="43">
        <f t="shared" si="6"/>
        <v>762749.54756452492</v>
      </c>
      <c r="J37" s="11">
        <f>VLOOKUP(B37,Decrementos!$B$9:$C$104,2,0)</f>
        <v>1.268502E-2</v>
      </c>
      <c r="K37" s="11">
        <f t="shared" si="4"/>
        <v>0.98731497999999995</v>
      </c>
      <c r="L37" s="26">
        <f t="shared" si="7"/>
        <v>0.93870009299432677</v>
      </c>
      <c r="M37">
        <f t="shared" si="8"/>
        <v>0.6129450905884205</v>
      </c>
      <c r="N37" s="10">
        <f t="shared" si="5"/>
        <v>41291.21470656684</v>
      </c>
    </row>
    <row r="38" spans="2:20" x14ac:dyDescent="0.3">
      <c r="B38">
        <v>67</v>
      </c>
      <c r="C38" s="10">
        <f t="shared" ref="C38:C41" si="9">C37*1.01</f>
        <v>169336.6</v>
      </c>
      <c r="D38" s="10">
        <f t="shared" si="3"/>
        <v>816599.66562258056</v>
      </c>
      <c r="E38" s="5"/>
      <c r="I38" s="43">
        <f t="shared" si="6"/>
        <v>816599.66562258056</v>
      </c>
      <c r="J38" s="11">
        <f>VLOOKUP(B38,Decrementos!$B$9:$C$104,2,0)</f>
        <v>1.345186E-2</v>
      </c>
      <c r="K38" s="11">
        <f t="shared" si="4"/>
        <v>0.98654814000000002</v>
      </c>
      <c r="L38" s="26">
        <f t="shared" si="7"/>
        <v>0.92679266354069179</v>
      </c>
      <c r="M38">
        <f t="shared" si="8"/>
        <v>0.56492635077273778</v>
      </c>
      <c r="N38" s="10">
        <f t="shared" si="5"/>
        <v>40226.373936070369</v>
      </c>
      <c r="P38" s="57">
        <f>+C38</f>
        <v>169336.6</v>
      </c>
      <c r="Q38" s="58">
        <v>1</v>
      </c>
      <c r="R38" s="58">
        <f>1.08^($B$38-B38)</f>
        <v>1</v>
      </c>
      <c r="S38" s="57">
        <f>+R38*Q38*P38</f>
        <v>169336.6</v>
      </c>
      <c r="T38" s="10"/>
    </row>
    <row r="39" spans="2:20" x14ac:dyDescent="0.3">
      <c r="B39">
        <v>68</v>
      </c>
      <c r="C39" s="10">
        <f t="shared" si="9"/>
        <v>171029.96600000001</v>
      </c>
      <c r="D39" s="10">
        <f t="shared" si="3"/>
        <v>874251.60201553477</v>
      </c>
      <c r="E39" s="5"/>
      <c r="I39" s="43">
        <f t="shared" si="6"/>
        <v>874251.60201553477</v>
      </c>
      <c r="J39" s="11">
        <f>VLOOKUP(B39,Decrementos!$B$9:$C$104,2,0)</f>
        <v>1.4293480000000001E-2</v>
      </c>
      <c r="K39" s="11">
        <f t="shared" si="4"/>
        <v>0.98570652000000003</v>
      </c>
      <c r="L39" s="26">
        <f t="shared" si="7"/>
        <v>0.91432557838171535</v>
      </c>
      <c r="M39">
        <f t="shared" si="8"/>
        <v>0.52066944771680901</v>
      </c>
      <c r="N39" s="10">
        <f t="shared" si="5"/>
        <v>39158.556078521913</v>
      </c>
      <c r="P39" s="10">
        <f>C39*1.06^(B39-$B$38)</f>
        <v>181291.76396000001</v>
      </c>
      <c r="Q39" s="26">
        <f>Q38*K38</f>
        <v>0.98654814000000002</v>
      </c>
      <c r="R39" s="60">
        <f>1.08^($B$38-B39)</f>
        <v>0.92592592592592582</v>
      </c>
      <c r="S39" s="61">
        <f>+R39*Q39*P39</f>
        <v>165604.67827042317</v>
      </c>
      <c r="T39" s="10"/>
    </row>
    <row r="40" spans="2:20" x14ac:dyDescent="0.3">
      <c r="B40">
        <v>69</v>
      </c>
      <c r="C40" s="10">
        <f t="shared" si="9"/>
        <v>172740.26566</v>
      </c>
      <c r="D40" s="10">
        <f t="shared" si="3"/>
        <v>935973.76511783153</v>
      </c>
      <c r="E40" s="5"/>
      <c r="I40" s="43">
        <f t="shared" si="6"/>
        <v>935973.76511783153</v>
      </c>
      <c r="J40" s="11">
        <f>VLOOKUP(B40,Decrementos!$B$9:$C$104,2,0)</f>
        <v>1.519648E-2</v>
      </c>
      <c r="K40" s="11">
        <f t="shared" si="4"/>
        <v>0.98480352000000004</v>
      </c>
      <c r="L40" s="26">
        <f t="shared" si="7"/>
        <v>0.90125668401362791</v>
      </c>
      <c r="M40">
        <f t="shared" si="8"/>
        <v>0.4798796753150314</v>
      </c>
      <c r="N40" s="10">
        <f t="shared" si="5"/>
        <v>38086.564451277278</v>
      </c>
      <c r="P40" s="10">
        <f>C40*1.06^(B40-$B$38)</f>
        <v>194090.96249557604</v>
      </c>
      <c r="Q40" s="26">
        <f t="shared" ref="Q40:Q81" si="10">Q39*K39</f>
        <v>0.97244693389187287</v>
      </c>
      <c r="R40" s="60">
        <f t="shared" ref="R40:R81" si="11">1.08^($B$38-B40)</f>
        <v>0.85733882030178321</v>
      </c>
      <c r="S40" s="61">
        <f t="shared" ref="S40:S81" si="12">+R40*Q40*P40</f>
        <v>161816.83931322477</v>
      </c>
      <c r="T40" s="10"/>
    </row>
    <row r="41" spans="2:20" x14ac:dyDescent="0.3">
      <c r="B41">
        <v>70</v>
      </c>
      <c r="C41" s="10">
        <f t="shared" si="9"/>
        <v>174467.6683166</v>
      </c>
      <c r="D41" s="10">
        <f t="shared" si="3"/>
        <v>1002053.5129351504</v>
      </c>
      <c r="E41" s="5"/>
      <c r="I41" s="43">
        <f t="shared" si="6"/>
        <v>1002053.5129351504</v>
      </c>
      <c r="J41" s="11">
        <f>VLOOKUP(B41,Decrementos!$B$9:$C$104,2,0)</f>
        <v>1.6166139999999999E-2</v>
      </c>
      <c r="K41" s="11">
        <f t="shared" si="4"/>
        <v>0.98383385999999995</v>
      </c>
      <c r="L41" s="26">
        <f t="shared" si="7"/>
        <v>0.88756075484014851</v>
      </c>
      <c r="M41">
        <f t="shared" si="8"/>
        <v>0.44228541503689528</v>
      </c>
      <c r="N41" s="10">
        <f t="shared" si="5"/>
        <v>37009.983592174431</v>
      </c>
      <c r="P41" s="10">
        <f t="shared" ref="P41:P81" si="13">C41*1.06^(B41-$B$38)</f>
        <v>207793.78444776373</v>
      </c>
      <c r="Q41" s="26">
        <f t="shared" si="10"/>
        <v>0.9576691635099237</v>
      </c>
      <c r="R41" s="60">
        <f t="shared" si="11"/>
        <v>0.79383224102016958</v>
      </c>
      <c r="S41" s="61">
        <f t="shared" si="12"/>
        <v>157970.78993821703</v>
      </c>
      <c r="T41" s="10"/>
    </row>
    <row r="42" spans="2:20" x14ac:dyDescent="0.3">
      <c r="B42">
        <v>71</v>
      </c>
      <c r="C42" s="10">
        <f>+C41</f>
        <v>174467.6683166</v>
      </c>
      <c r="D42" s="10">
        <f t="shared" si="3"/>
        <v>1062176.7237112597</v>
      </c>
      <c r="E42" s="5"/>
      <c r="I42" s="43">
        <f t="shared" si="6"/>
        <v>1062176.7237112597</v>
      </c>
      <c r="J42" s="11">
        <f>VLOOKUP(B42,Decrementos!$B$9:$C$104,2,0)</f>
        <v>1.7228340000000002E-2</v>
      </c>
      <c r="K42" s="11">
        <f t="shared" si="4"/>
        <v>0.98277166000000005</v>
      </c>
      <c r="L42" s="26">
        <f t="shared" si="7"/>
        <v>0.87321232341889699</v>
      </c>
      <c r="M42">
        <f t="shared" si="8"/>
        <v>0.40763632722294496</v>
      </c>
      <c r="N42" s="10">
        <f t="shared" si="5"/>
        <v>35572.696329020444</v>
      </c>
      <c r="P42" s="10">
        <f t="shared" si="13"/>
        <v>220261.41151462955</v>
      </c>
      <c r="Q42" s="26">
        <f t="shared" si="10"/>
        <v>0.94218734973893936</v>
      </c>
      <c r="R42" s="60">
        <f t="shared" si="11"/>
        <v>0.73502985279645328</v>
      </c>
      <c r="S42" s="61">
        <f t="shared" si="12"/>
        <v>152538.91921675476</v>
      </c>
      <c r="T42" s="10"/>
    </row>
    <row r="43" spans="2:20" x14ac:dyDescent="0.3">
      <c r="B43">
        <v>72</v>
      </c>
      <c r="C43" s="10">
        <f t="shared" ref="C43:C81" si="14">+C42</f>
        <v>174467.6683166</v>
      </c>
      <c r="D43" s="10">
        <f t="shared" si="3"/>
        <v>1125907.3271339352</v>
      </c>
      <c r="E43" s="5"/>
      <c r="I43" s="43">
        <f t="shared" si="6"/>
        <v>1125907.3271339352</v>
      </c>
      <c r="J43" s="11">
        <f>VLOOKUP(B43,Decrementos!$B$9:$C$104,2,0)</f>
        <v>1.8377689999999999E-2</v>
      </c>
      <c r="K43" s="11">
        <f t="shared" si="4"/>
        <v>0.98162231</v>
      </c>
      <c r="L43" s="26">
        <f t="shared" si="7"/>
        <v>0.85816832461884629</v>
      </c>
      <c r="M43">
        <f t="shared" si="8"/>
        <v>0.37570168407644705</v>
      </c>
      <c r="N43" s="10">
        <f t="shared" si="5"/>
        <v>34154.311604851777</v>
      </c>
      <c r="P43" s="10">
        <f t="shared" si="13"/>
        <v>233477.09620550735</v>
      </c>
      <c r="Q43" s="26">
        <f t="shared" si="10"/>
        <v>0.92595502573393806</v>
      </c>
      <c r="R43" s="60">
        <f t="shared" si="11"/>
        <v>0.68058319703375303</v>
      </c>
      <c r="S43" s="61">
        <f t="shared" si="12"/>
        <v>147134.79857819568</v>
      </c>
      <c r="T43" s="10"/>
    </row>
    <row r="44" spans="2:20" x14ac:dyDescent="0.3">
      <c r="B44">
        <v>73</v>
      </c>
      <c r="C44" s="10">
        <f t="shared" si="14"/>
        <v>174467.6683166</v>
      </c>
      <c r="D44" s="10">
        <f t="shared" si="3"/>
        <v>1193461.7667619712</v>
      </c>
      <c r="E44" s="5"/>
      <c r="I44" s="43">
        <f t="shared" si="6"/>
        <v>1193461.7667619712</v>
      </c>
      <c r="J44" s="11">
        <f>VLOOKUP(B44,Decrementos!$B$9:$C$104,2,0)</f>
        <v>1.9639070000000002E-2</v>
      </c>
      <c r="K44" s="11">
        <f t="shared" si="4"/>
        <v>0.98036093000000002</v>
      </c>
      <c r="L44" s="26">
        <f t="shared" si="7"/>
        <v>0.84239717318118179</v>
      </c>
      <c r="M44">
        <f t="shared" si="8"/>
        <v>0.3462688332501816</v>
      </c>
      <c r="N44" s="10">
        <f t="shared" si="5"/>
        <v>32754.131160603934</v>
      </c>
      <c r="P44" s="10">
        <f t="shared" si="13"/>
        <v>247485.72197783779</v>
      </c>
      <c r="Q44" s="26">
        <f t="shared" si="10"/>
        <v>0.90893811131705771</v>
      </c>
      <c r="R44" s="60">
        <f t="shared" si="11"/>
        <v>0.63016962688310452</v>
      </c>
      <c r="S44" s="61">
        <f t="shared" si="12"/>
        <v>141756.15640131105</v>
      </c>
      <c r="T44" s="10"/>
    </row>
    <row r="45" spans="2:20" x14ac:dyDescent="0.3">
      <c r="B45">
        <v>74</v>
      </c>
      <c r="C45" s="10">
        <f t="shared" si="14"/>
        <v>174467.6683166</v>
      </c>
      <c r="D45" s="10">
        <f t="shared" si="3"/>
        <v>1265069.4727676897</v>
      </c>
      <c r="E45" s="5"/>
      <c r="I45" s="43">
        <f t="shared" si="6"/>
        <v>1265069.4727676897</v>
      </c>
      <c r="J45" s="11">
        <f>VLOOKUP(B45,Decrementos!$B$9:$C$104,2,0)</f>
        <v>2.0996230000000001E-2</v>
      </c>
      <c r="K45" s="11">
        <f t="shared" si="4"/>
        <v>0.97900377000000005</v>
      </c>
      <c r="L45" s="26">
        <f t="shared" si="7"/>
        <v>0.82585327612927451</v>
      </c>
      <c r="M45">
        <f t="shared" si="8"/>
        <v>0.31914178179740244</v>
      </c>
      <c r="N45" s="10">
        <f t="shared" si="5"/>
        <v>31370.988677519596</v>
      </c>
      <c r="P45" s="10">
        <f t="shared" si="13"/>
        <v>262334.86529650807</v>
      </c>
      <c r="Q45" s="26">
        <f t="shared" si="10"/>
        <v>0.89108741212323428</v>
      </c>
      <c r="R45" s="60">
        <f t="shared" si="11"/>
        <v>0.58349039526213387</v>
      </c>
      <c r="S45" s="61">
        <f t="shared" si="12"/>
        <v>136398.63811313303</v>
      </c>
      <c r="T45" s="10"/>
    </row>
    <row r="46" spans="2:20" x14ac:dyDescent="0.3">
      <c r="B46">
        <v>75</v>
      </c>
      <c r="C46" s="10">
        <f t="shared" si="14"/>
        <v>174467.6683166</v>
      </c>
      <c r="D46" s="10">
        <f t="shared" si="3"/>
        <v>1340973.6411337513</v>
      </c>
      <c r="E46" s="5"/>
      <c r="I46" s="43">
        <f t="shared" si="6"/>
        <v>1340973.6411337513</v>
      </c>
      <c r="J46" s="11">
        <f>VLOOKUP(B46,Decrementos!$B$9:$C$104,2,0)</f>
        <v>2.2474439999999998E-2</v>
      </c>
      <c r="K46" s="11">
        <f t="shared" si="4"/>
        <v>0.97752556000000002</v>
      </c>
      <c r="L46" s="26">
        <f t="shared" si="7"/>
        <v>0.80851347079741076</v>
      </c>
      <c r="M46">
        <f t="shared" si="8"/>
        <v>0.2941398910575137</v>
      </c>
      <c r="N46" s="10">
        <f t="shared" si="5"/>
        <v>30004.659128989988</v>
      </c>
      <c r="P46" s="10">
        <f t="shared" si="13"/>
        <v>278074.95721429854</v>
      </c>
      <c r="Q46" s="26">
        <f t="shared" si="10"/>
        <v>0.87237793586819012</v>
      </c>
      <c r="R46" s="60">
        <f t="shared" si="11"/>
        <v>0.54026888450197574</v>
      </c>
      <c r="S46" s="61">
        <f t="shared" si="12"/>
        <v>131061.91462200026</v>
      </c>
      <c r="T46" s="10"/>
    </row>
    <row r="47" spans="2:20" x14ac:dyDescent="0.3">
      <c r="B47">
        <v>76</v>
      </c>
      <c r="C47" s="10">
        <f t="shared" si="14"/>
        <v>174467.6683166</v>
      </c>
      <c r="D47" s="10">
        <f t="shared" si="3"/>
        <v>1421432.0596017763</v>
      </c>
      <c r="E47" s="5"/>
      <c r="I47" s="43">
        <f t="shared" si="6"/>
        <v>1421432.0596017763</v>
      </c>
      <c r="J47" s="11">
        <f>VLOOKUP(B47,Decrementos!$B$9:$C$104,2,0)</f>
        <v>2.3913810000000001E-2</v>
      </c>
      <c r="K47" s="11">
        <f t="shared" si="4"/>
        <v>0.97608618999999996</v>
      </c>
      <c r="L47" s="26">
        <f t="shared" si="7"/>
        <v>0.7903425833087826</v>
      </c>
      <c r="M47">
        <f t="shared" si="8"/>
        <v>0.27109667378572694</v>
      </c>
      <c r="N47" s="10">
        <f t="shared" si="5"/>
        <v>28654.507364733232</v>
      </c>
      <c r="P47" s="10">
        <f t="shared" si="13"/>
        <v>294759.45464715647</v>
      </c>
      <c r="Q47" s="26">
        <f t="shared" si="10"/>
        <v>0.85277173029119668</v>
      </c>
      <c r="R47" s="60">
        <f t="shared" si="11"/>
        <v>0.50024896713145905</v>
      </c>
      <c r="S47" s="61">
        <f t="shared" si="12"/>
        <v>125743.84608766259</v>
      </c>
      <c r="T47" s="10"/>
    </row>
    <row r="48" spans="2:20" x14ac:dyDescent="0.3">
      <c r="B48">
        <v>77</v>
      </c>
      <c r="C48" s="10">
        <f t="shared" si="14"/>
        <v>174467.6683166</v>
      </c>
      <c r="D48" s="10">
        <f t="shared" si="3"/>
        <v>1506717.9831778829</v>
      </c>
      <c r="E48" s="5"/>
      <c r="I48" s="43">
        <f t="shared" si="6"/>
        <v>1506717.9831778829</v>
      </c>
      <c r="J48" s="11">
        <f>VLOOKUP(B48,Decrementos!$B$9:$C$104,2,0)</f>
        <v>2.5466760000000001E-2</v>
      </c>
      <c r="K48" s="11">
        <f t="shared" si="4"/>
        <v>0.97453323999999997</v>
      </c>
      <c r="L48" s="26">
        <f t="shared" si="7"/>
        <v>0.77144248093662715</v>
      </c>
      <c r="M48">
        <f t="shared" si="8"/>
        <v>0.24985868551679907</v>
      </c>
      <c r="N48" s="10">
        <f t="shared" si="5"/>
        <v>27324.815719048445</v>
      </c>
      <c r="P48" s="10">
        <f t="shared" si="13"/>
        <v>312445.02192598587</v>
      </c>
      <c r="Q48" s="26">
        <f t="shared" si="10"/>
        <v>0.83237870915964174</v>
      </c>
      <c r="R48" s="60">
        <f t="shared" si="11"/>
        <v>0.46319348808468425</v>
      </c>
      <c r="S48" s="61">
        <f t="shared" si="12"/>
        <v>120463.92735395567</v>
      </c>
      <c r="T48" s="10"/>
    </row>
    <row r="49" spans="2:20" x14ac:dyDescent="0.3">
      <c r="B49">
        <v>78</v>
      </c>
      <c r="C49" s="10">
        <f t="shared" si="14"/>
        <v>174467.6683166</v>
      </c>
      <c r="D49" s="10">
        <f t="shared" si="3"/>
        <v>1597121.0621685563</v>
      </c>
      <c r="E49" s="5"/>
      <c r="I49" s="43">
        <f t="shared" si="6"/>
        <v>1597121.0621685563</v>
      </c>
      <c r="J49" s="11">
        <f>VLOOKUP(B49,Decrementos!$B$9:$C$104,2,0)</f>
        <v>2.7132239999999998E-2</v>
      </c>
      <c r="K49" s="11">
        <f t="shared" si="4"/>
        <v>0.97286775999999997</v>
      </c>
      <c r="L49" s="26">
        <f t="shared" si="7"/>
        <v>0.75179634042080945</v>
      </c>
      <c r="M49">
        <f t="shared" si="8"/>
        <v>0.23028450278045995</v>
      </c>
      <c r="N49" s="10">
        <f t="shared" si="5"/>
        <v>26015.371121467695</v>
      </c>
      <c r="P49" s="10">
        <f t="shared" si="13"/>
        <v>331191.72324154509</v>
      </c>
      <c r="Q49" s="26">
        <f t="shared" si="10"/>
        <v>0.81118072034436328</v>
      </c>
      <c r="R49" s="60">
        <f t="shared" si="11"/>
        <v>0.42888285933767062</v>
      </c>
      <c r="S49" s="61">
        <f t="shared" si="12"/>
        <v>115222.09954909036</v>
      </c>
      <c r="T49" s="10"/>
    </row>
    <row r="50" spans="2:20" x14ac:dyDescent="0.3">
      <c r="B50">
        <v>79</v>
      </c>
      <c r="C50" s="10">
        <f t="shared" si="14"/>
        <v>174467.6683166</v>
      </c>
      <c r="D50" s="10">
        <f t="shared" si="3"/>
        <v>1692948.3258986697</v>
      </c>
      <c r="E50" s="5"/>
      <c r="I50" s="43">
        <f t="shared" si="6"/>
        <v>1692948.3258986697</v>
      </c>
      <c r="J50" s="11">
        <f>VLOOKUP(B50,Decrementos!$B$9:$C$104,2,0)</f>
        <v>2.8905569999999998E-2</v>
      </c>
      <c r="K50" s="11">
        <f t="shared" si="4"/>
        <v>0.97109442999999995</v>
      </c>
      <c r="L50" s="26">
        <f t="shared" si="7"/>
        <v>0.73139842168139035</v>
      </c>
      <c r="M50">
        <f t="shared" si="8"/>
        <v>0.21224378136447922</v>
      </c>
      <c r="N50" s="10">
        <f t="shared" si="5"/>
        <v>24726.347261033752</v>
      </c>
      <c r="P50" s="10">
        <f t="shared" si="13"/>
        <v>351063.22663603781</v>
      </c>
      <c r="Q50" s="26">
        <f t="shared" si="10"/>
        <v>0.78917157035660712</v>
      </c>
      <c r="R50" s="60">
        <f t="shared" si="11"/>
        <v>0.39711375864599124</v>
      </c>
      <c r="S50" s="61">
        <f t="shared" si="12"/>
        <v>110020.01652247201</v>
      </c>
      <c r="T50" s="10"/>
    </row>
    <row r="51" spans="2:20" x14ac:dyDescent="0.3">
      <c r="B51">
        <v>80</v>
      </c>
      <c r="C51" s="10">
        <f t="shared" si="14"/>
        <v>174467.6683166</v>
      </c>
      <c r="D51" s="10">
        <f t="shared" si="3"/>
        <v>1794525.2254525898</v>
      </c>
      <c r="E51" s="5"/>
      <c r="I51" s="43">
        <f t="shared" si="6"/>
        <v>1794525.2254525898</v>
      </c>
      <c r="J51" s="11">
        <f>VLOOKUP(B51,Decrementos!$B$9:$C$104,2,0)</f>
        <v>3.0781530000000001E-2</v>
      </c>
      <c r="K51" s="11">
        <f t="shared" si="4"/>
        <v>0.96921846999999994</v>
      </c>
      <c r="L51" s="26">
        <f t="shared" si="7"/>
        <v>0.71025693340558937</v>
      </c>
      <c r="M51">
        <f t="shared" si="8"/>
        <v>0.19561638835435877</v>
      </c>
      <c r="N51" s="10">
        <f t="shared" si="5"/>
        <v>23458.355009586892</v>
      </c>
      <c r="P51" s="10">
        <f t="shared" si="13"/>
        <v>372127.02023420011</v>
      </c>
      <c r="Q51" s="26">
        <f t="shared" si="10"/>
        <v>0.76636011628765421</v>
      </c>
      <c r="R51" s="60">
        <f t="shared" si="11"/>
        <v>0.36769792467221413</v>
      </c>
      <c r="S51" s="61">
        <f t="shared" si="12"/>
        <v>104861.30995137905</v>
      </c>
      <c r="T51" s="10"/>
    </row>
    <row r="52" spans="2:20" x14ac:dyDescent="0.3">
      <c r="B52">
        <v>81</v>
      </c>
      <c r="C52" s="10">
        <f t="shared" si="14"/>
        <v>174467.6683166</v>
      </c>
      <c r="D52" s="10">
        <f t="shared" si="3"/>
        <v>1902196.738979745</v>
      </c>
      <c r="E52" s="5"/>
      <c r="I52" s="43">
        <f t="shared" si="6"/>
        <v>1902196.738979745</v>
      </c>
      <c r="J52" s="11">
        <f>VLOOKUP(B52,Decrementos!$B$9:$C$104,2,0)</f>
        <v>3.2769939999999997E-2</v>
      </c>
      <c r="K52" s="11">
        <f t="shared" si="4"/>
        <v>0.96723006</v>
      </c>
      <c r="L52" s="26">
        <f t="shared" si="7"/>
        <v>0.68839413830225715</v>
      </c>
      <c r="M52">
        <f t="shared" si="8"/>
        <v>0.18029160216991591</v>
      </c>
      <c r="N52" s="10">
        <f t="shared" si="5"/>
        <v>22212.393740253596</v>
      </c>
      <c r="P52" s="10">
        <f t="shared" si="13"/>
        <v>394454.64144825208</v>
      </c>
      <c r="Q52" s="26">
        <f t="shared" si="10"/>
        <v>0.74277037937734225</v>
      </c>
      <c r="R52" s="60">
        <f t="shared" si="11"/>
        <v>0.34046104136316119</v>
      </c>
      <c r="S52" s="61">
        <f t="shared" si="12"/>
        <v>99751.41620080336</v>
      </c>
      <c r="T52" s="10"/>
    </row>
    <row r="53" spans="2:20" x14ac:dyDescent="0.3">
      <c r="B53">
        <v>82</v>
      </c>
      <c r="C53" s="10">
        <f t="shared" si="14"/>
        <v>174467.6683166</v>
      </c>
      <c r="D53" s="10">
        <f t="shared" si="3"/>
        <v>2016328.5433185298</v>
      </c>
      <c r="E53" s="5"/>
      <c r="I53" s="43">
        <f t="shared" si="6"/>
        <v>2016328.5433185298</v>
      </c>
      <c r="J53" s="11">
        <f>VLOOKUP(B53,Decrementos!$B$9:$C$104,2,0)</f>
        <v>3.4893550000000002E-2</v>
      </c>
      <c r="K53" s="11">
        <f t="shared" si="4"/>
        <v>0.96510644999999995</v>
      </c>
      <c r="L53" s="26">
        <f t="shared" si="7"/>
        <v>0.66583550369374045</v>
      </c>
      <c r="M53">
        <f t="shared" si="8"/>
        <v>0.16616737527181191</v>
      </c>
      <c r="N53" s="10">
        <f t="shared" si="5"/>
        <v>20989.460484734438</v>
      </c>
      <c r="P53" s="10">
        <f t="shared" si="13"/>
        <v>418121.91993514734</v>
      </c>
      <c r="Q53" s="26">
        <f t="shared" si="10"/>
        <v>0.71842983861136955</v>
      </c>
      <c r="R53" s="60">
        <f t="shared" si="11"/>
        <v>0.31524170496588994</v>
      </c>
      <c r="S53" s="61">
        <f t="shared" si="12"/>
        <v>94695.854049636386</v>
      </c>
      <c r="T53" s="10"/>
    </row>
    <row r="54" spans="2:20" x14ac:dyDescent="0.3">
      <c r="B54">
        <v>83</v>
      </c>
      <c r="C54" s="10">
        <f t="shared" si="14"/>
        <v>174467.6683166</v>
      </c>
      <c r="D54" s="10">
        <f t="shared" si="3"/>
        <v>2137308.2559176423</v>
      </c>
      <c r="E54" s="5"/>
      <c r="I54" s="43">
        <f t="shared" si="6"/>
        <v>2137308.2559176423</v>
      </c>
      <c r="J54" s="11">
        <f>VLOOKUP(B54,Decrementos!$B$9:$C$104,2,0)</f>
        <v>3.7140510000000002E-2</v>
      </c>
      <c r="K54" s="11">
        <f t="shared" si="4"/>
        <v>0.96285949000000004</v>
      </c>
      <c r="L54" s="26">
        <f t="shared" si="7"/>
        <v>0.6426021392538277</v>
      </c>
      <c r="M54">
        <f t="shared" si="8"/>
        <v>0.15314965462839805</v>
      </c>
      <c r="N54" s="10">
        <f t="shared" si="5"/>
        <v>19790.311076117578</v>
      </c>
      <c r="P54" s="10">
        <f t="shared" si="13"/>
        <v>443209.23513125605</v>
      </c>
      <c r="Q54" s="26">
        <f t="shared" si="10"/>
        <v>0.69336127111629176</v>
      </c>
      <c r="R54" s="60">
        <f t="shared" si="11"/>
        <v>0.29189046756100923</v>
      </c>
      <c r="S54" s="61">
        <f t="shared" si="12"/>
        <v>89699.142873570774</v>
      </c>
      <c r="T54" s="10"/>
    </row>
    <row r="55" spans="2:20" x14ac:dyDescent="0.3">
      <c r="B55">
        <v>84</v>
      </c>
      <c r="C55" s="10">
        <f t="shared" si="14"/>
        <v>174467.6683166</v>
      </c>
      <c r="D55" s="10">
        <f t="shared" si="3"/>
        <v>2265546.7512727007</v>
      </c>
      <c r="E55" s="5"/>
      <c r="I55" s="43">
        <f t="shared" si="6"/>
        <v>2265546.7512727007</v>
      </c>
      <c r="J55" s="11">
        <f>VLOOKUP(B55,Decrementos!$B$9:$C$104,2,0)</f>
        <v>3.9526209999999999E-2</v>
      </c>
      <c r="K55" s="11">
        <f t="shared" si="4"/>
        <v>0.96047378999999999</v>
      </c>
      <c r="L55" s="26">
        <f t="shared" si="7"/>
        <v>0.61873556807484953</v>
      </c>
      <c r="M55">
        <f t="shared" si="8"/>
        <v>0.14115175541787842</v>
      </c>
      <c r="N55" s="10">
        <f t="shared" si="5"/>
        <v>18616.226875090731</v>
      </c>
      <c r="P55" s="10">
        <f t="shared" si="13"/>
        <v>469801.7892391315</v>
      </c>
      <c r="Q55" s="26">
        <f t="shared" si="10"/>
        <v>0.66760947989278441</v>
      </c>
      <c r="R55" s="60">
        <f t="shared" si="11"/>
        <v>0.27026895144537894</v>
      </c>
      <c r="S55" s="61">
        <f t="shared" si="12"/>
        <v>84768.269646596775</v>
      </c>
      <c r="T55" s="10"/>
    </row>
    <row r="56" spans="2:20" x14ac:dyDescent="0.3">
      <c r="B56">
        <v>85</v>
      </c>
      <c r="C56" s="10">
        <f t="shared" si="14"/>
        <v>174467.6683166</v>
      </c>
      <c r="D56" s="10">
        <f t="shared" si="3"/>
        <v>2401479.5563490628</v>
      </c>
      <c r="E56" s="5"/>
      <c r="I56" s="43">
        <f t="shared" si="6"/>
        <v>2401479.5563490628</v>
      </c>
      <c r="J56" s="11">
        <f>VLOOKUP(B56,Decrementos!$B$9:$C$104,2,0)</f>
        <v>4.2096660000000001E-2</v>
      </c>
      <c r="K56" s="11">
        <f t="shared" si="4"/>
        <v>0.95790333999999999</v>
      </c>
      <c r="L56" s="26">
        <f t="shared" si="7"/>
        <v>0.59427929607665375</v>
      </c>
      <c r="M56">
        <f t="shared" si="8"/>
        <v>0.13009378379527964</v>
      </c>
      <c r="N56" s="10">
        <f t="shared" si="5"/>
        <v>17468.407245300776</v>
      </c>
      <c r="P56" s="10">
        <f t="shared" si="13"/>
        <v>497989.89659347938</v>
      </c>
      <c r="Q56" s="26">
        <f t="shared" si="10"/>
        <v>0.6412214073925514</v>
      </c>
      <c r="R56" s="60">
        <f t="shared" si="11"/>
        <v>0.25024902911609154</v>
      </c>
      <c r="S56" s="61">
        <f t="shared" si="12"/>
        <v>79909.966011445606</v>
      </c>
      <c r="T56" s="10"/>
    </row>
    <row r="57" spans="2:20" x14ac:dyDescent="0.3">
      <c r="B57">
        <v>86</v>
      </c>
      <c r="C57" s="10">
        <f t="shared" si="14"/>
        <v>174467.6683166</v>
      </c>
      <c r="D57" s="10">
        <f t="shared" si="3"/>
        <v>2545568.3297300064</v>
      </c>
      <c r="E57" s="5"/>
      <c r="I57" s="43">
        <f t="shared" si="6"/>
        <v>2545568.3297300064</v>
      </c>
      <c r="J57" s="11">
        <f>VLOOKUP(B57,Decrementos!$B$9:$C$104,2,0)</f>
        <v>4.4870359999999998E-2</v>
      </c>
      <c r="K57" s="11">
        <f t="shared" si="4"/>
        <v>0.95512964</v>
      </c>
      <c r="L57" s="26">
        <f t="shared" si="7"/>
        <v>0.56926212260467557</v>
      </c>
      <c r="M57">
        <f t="shared" si="8"/>
        <v>0.11990210488044206</v>
      </c>
      <c r="N57" s="10">
        <f t="shared" si="5"/>
        <v>16347.49159763967</v>
      </c>
      <c r="P57" s="10">
        <f t="shared" si="13"/>
        <v>527869.29038908822</v>
      </c>
      <c r="Q57" s="26">
        <f t="shared" si="10"/>
        <v>0.6142281278208257</v>
      </c>
      <c r="R57" s="60">
        <f t="shared" si="11"/>
        <v>0.23171206399638106</v>
      </c>
      <c r="S57" s="61">
        <f t="shared" si="12"/>
        <v>75128.504390878938</v>
      </c>
      <c r="T57" s="10"/>
    </row>
    <row r="58" spans="2:20" x14ac:dyDescent="0.3">
      <c r="B58">
        <v>87</v>
      </c>
      <c r="C58" s="10">
        <f t="shared" si="14"/>
        <v>174467.6683166</v>
      </c>
      <c r="D58" s="10">
        <f t="shared" si="3"/>
        <v>2698302.4295138079</v>
      </c>
      <c r="E58" s="5"/>
      <c r="I58" s="43">
        <f t="shared" si="6"/>
        <v>2698302.4295138079</v>
      </c>
      <c r="J58" s="11">
        <f>VLOOKUP(B58,Decrementos!$B$9:$C$104,2,0)</f>
        <v>4.788042E-2</v>
      </c>
      <c r="K58" s="11">
        <f t="shared" si="4"/>
        <v>0.95211957999999997</v>
      </c>
      <c r="L58" s="26">
        <f t="shared" si="7"/>
        <v>0.54371912622903962</v>
      </c>
      <c r="M58">
        <f t="shared" si="8"/>
        <v>0.11050885242437056</v>
      </c>
      <c r="N58" s="10">
        <f t="shared" si="5"/>
        <v>15254.204783806455</v>
      </c>
      <c r="P58" s="10">
        <f t="shared" si="13"/>
        <v>559541.44781243347</v>
      </c>
      <c r="Q58" s="26">
        <f t="shared" si="10"/>
        <v>0.58666749060337919</v>
      </c>
      <c r="R58" s="60">
        <f t="shared" si="11"/>
        <v>0.21454820740405653</v>
      </c>
      <c r="S58" s="61">
        <f t="shared" si="12"/>
        <v>70428.619475698637</v>
      </c>
      <c r="T58" s="10"/>
    </row>
    <row r="59" spans="2:20" x14ac:dyDescent="0.3">
      <c r="B59">
        <v>88</v>
      </c>
      <c r="C59" s="10">
        <f t="shared" si="14"/>
        <v>174467.6683166</v>
      </c>
      <c r="D59" s="10">
        <f t="shared" si="3"/>
        <v>2860200.5752846356</v>
      </c>
      <c r="E59" s="5"/>
      <c r="I59" s="43">
        <f t="shared" si="6"/>
        <v>2860200.5752846356</v>
      </c>
      <c r="J59" s="11">
        <f>VLOOKUP(B59,Decrementos!$B$9:$C$104,2,0)</f>
        <v>5.1160619999999997E-2</v>
      </c>
      <c r="K59" s="11">
        <f t="shared" si="4"/>
        <v>0.94883938000000001</v>
      </c>
      <c r="L59" s="26">
        <f t="shared" si="7"/>
        <v>0.51768562610316016</v>
      </c>
      <c r="M59">
        <f t="shared" si="8"/>
        <v>0.1018514768888208</v>
      </c>
      <c r="N59" s="10">
        <f t="shared" si="5"/>
        <v>14189.176659088753</v>
      </c>
      <c r="P59" s="10">
        <f t="shared" si="13"/>
        <v>593113.93468117958</v>
      </c>
      <c r="Q59" s="26">
        <f t="shared" si="10"/>
        <v>0.55857760475294338</v>
      </c>
      <c r="R59" s="60">
        <f t="shared" si="11"/>
        <v>0.19865574759634863</v>
      </c>
      <c r="S59" s="61">
        <f t="shared" si="12"/>
        <v>65814.681158234205</v>
      </c>
      <c r="T59" s="10"/>
    </row>
    <row r="60" spans="2:20" x14ac:dyDescent="0.3">
      <c r="B60">
        <v>89</v>
      </c>
      <c r="C60" s="10">
        <f t="shared" si="14"/>
        <v>174467.6683166</v>
      </c>
      <c r="D60" s="10">
        <f t="shared" si="3"/>
        <v>3031812.6098017143</v>
      </c>
      <c r="E60" s="5"/>
      <c r="I60" s="43">
        <f t="shared" si="6"/>
        <v>3031812.6098017143</v>
      </c>
      <c r="J60" s="11">
        <f>VLOOKUP(B60,Decrementos!$B$9:$C$104,2,0)</f>
        <v>5.4739139999999999E-2</v>
      </c>
      <c r="K60" s="11">
        <f t="shared" si="4"/>
        <v>0.94526085999999998</v>
      </c>
      <c r="L60" s="26">
        <f t="shared" si="7"/>
        <v>0.49120050850663433</v>
      </c>
      <c r="M60">
        <f t="shared" si="8"/>
        <v>9.3872328929788765E-2</v>
      </c>
      <c r="N60" s="10">
        <f t="shared" si="5"/>
        <v>13153.036459866787</v>
      </c>
      <c r="P60" s="10">
        <f t="shared" si="13"/>
        <v>628700.77076205041</v>
      </c>
      <c r="Q60" s="26">
        <f t="shared" si="10"/>
        <v>0.53000042817566784</v>
      </c>
      <c r="R60" s="60">
        <f t="shared" si="11"/>
        <v>0.18394050703365611</v>
      </c>
      <c r="S60" s="61">
        <f t="shared" si="12"/>
        <v>61291.124945352989</v>
      </c>
      <c r="T60" s="10"/>
    </row>
    <row r="61" spans="2:20" x14ac:dyDescent="0.3">
      <c r="B61">
        <v>90</v>
      </c>
      <c r="C61" s="10">
        <f t="shared" si="14"/>
        <v>174467.6683166</v>
      </c>
      <c r="D61" s="10">
        <f t="shared" si="3"/>
        <v>3213721.3663898166</v>
      </c>
      <c r="E61" s="5"/>
      <c r="I61" s="43">
        <f t="shared" si="6"/>
        <v>3213721.3663898166</v>
      </c>
      <c r="J61" s="11">
        <f>VLOOKUP(B61,Decrementos!$B$9:$C$104,2,0)</f>
        <v>6.2945100000000004E-2</v>
      </c>
      <c r="K61" s="11">
        <f t="shared" si="4"/>
        <v>0.93705490000000002</v>
      </c>
      <c r="L61" s="26">
        <f t="shared" si="7"/>
        <v>0.46431261510341848</v>
      </c>
      <c r="M61">
        <f t="shared" si="8"/>
        <v>8.6518275511326057E-2</v>
      </c>
      <c r="N61" s="10">
        <f t="shared" si="5"/>
        <v>12146.574736410079</v>
      </c>
      <c r="P61" s="10">
        <f t="shared" si="13"/>
        <v>666422.81700777356</v>
      </c>
      <c r="Q61" s="26">
        <f t="shared" si="10"/>
        <v>0.50098866053769997</v>
      </c>
      <c r="R61" s="60">
        <f t="shared" si="11"/>
        <v>0.17031528429042234</v>
      </c>
      <c r="S61" s="61">
        <f t="shared" si="12"/>
        <v>56863.210708133818</v>
      </c>
      <c r="T61" s="10"/>
    </row>
    <row r="62" spans="2:20" x14ac:dyDescent="0.3">
      <c r="B62">
        <v>91</v>
      </c>
      <c r="C62" s="10">
        <f t="shared" si="14"/>
        <v>174467.6683166</v>
      </c>
      <c r="D62" s="10">
        <f t="shared" si="3"/>
        <v>3406544.6483732061</v>
      </c>
      <c r="E62" s="5"/>
      <c r="I62" s="43">
        <f t="shared" si="6"/>
        <v>3406544.6483732061</v>
      </c>
      <c r="J62" s="11">
        <f>VLOOKUP(B62,Decrementos!$B$9:$C$104,2,0)</f>
        <v>7.1243189999999998E-2</v>
      </c>
      <c r="K62" s="11">
        <f t="shared" si="4"/>
        <v>0.92875680999999999</v>
      </c>
      <c r="L62" s="26">
        <f t="shared" si="7"/>
        <v>0.43508641111447233</v>
      </c>
      <c r="M62">
        <f t="shared" si="8"/>
        <v>7.9740346093388065E-2</v>
      </c>
      <c r="N62" s="10">
        <f t="shared" si="5"/>
        <v>11119.749140522978</v>
      </c>
      <c r="P62" s="10">
        <f t="shared" si="13"/>
        <v>706408.1860282399</v>
      </c>
      <c r="Q62" s="26">
        <f t="shared" si="10"/>
        <v>0.46945387920128839</v>
      </c>
      <c r="R62" s="60">
        <f t="shared" si="11"/>
        <v>0.1576993373059466</v>
      </c>
      <c r="S62" s="61">
        <f t="shared" si="12"/>
        <v>52297.210404830206</v>
      </c>
      <c r="T62" s="10"/>
    </row>
    <row r="63" spans="2:20" x14ac:dyDescent="0.3">
      <c r="B63">
        <v>92</v>
      </c>
      <c r="C63" s="10">
        <f t="shared" si="14"/>
        <v>174467.6683166</v>
      </c>
      <c r="D63" s="10">
        <f t="shared" si="3"/>
        <v>3610937.3272755984</v>
      </c>
      <c r="E63" s="5"/>
      <c r="I63" s="43">
        <f t="shared" si="6"/>
        <v>3610937.3272755984</v>
      </c>
      <c r="J63" s="11">
        <f>VLOOKUP(B63,Decrementos!$B$9:$C$104,2,0)</f>
        <v>8.1044160000000004E-2</v>
      </c>
      <c r="K63" s="11">
        <f t="shared" si="4"/>
        <v>0.91895583999999997</v>
      </c>
      <c r="L63" s="26">
        <f t="shared" si="7"/>
        <v>0.40408946726102585</v>
      </c>
      <c r="M63">
        <f t="shared" si="8"/>
        <v>7.3493406537684852E-2</v>
      </c>
      <c r="N63" s="10">
        <f t="shared" si="5"/>
        <v>10089.580925472354</v>
      </c>
      <c r="P63" s="10">
        <f t="shared" si="13"/>
        <v>748792.67718993418</v>
      </c>
      <c r="Q63" s="26">
        <f t="shared" si="10"/>
        <v>0.43600848728911396</v>
      </c>
      <c r="R63" s="60">
        <f t="shared" si="11"/>
        <v>0.1460179049129135</v>
      </c>
      <c r="S63" s="61">
        <f t="shared" si="12"/>
        <v>47671.920116609472</v>
      </c>
      <c r="T63" s="10"/>
    </row>
    <row r="64" spans="2:20" x14ac:dyDescent="0.3">
      <c r="B64">
        <v>93</v>
      </c>
      <c r="C64" s="10">
        <f t="shared" si="14"/>
        <v>174467.6683166</v>
      </c>
      <c r="D64" s="10">
        <f t="shared" si="3"/>
        <v>3827593.5669121356</v>
      </c>
      <c r="E64" s="5"/>
      <c r="I64" s="43">
        <f t="shared" si="6"/>
        <v>3827593.5669121356</v>
      </c>
      <c r="J64" s="11">
        <f>VLOOKUP(B64,Decrementos!$B$9:$C$104,2,0)</f>
        <v>9.2644480000000001E-2</v>
      </c>
      <c r="K64" s="11">
        <f t="shared" si="4"/>
        <v>0.90735551999999997</v>
      </c>
      <c r="L64" s="26">
        <f t="shared" si="7"/>
        <v>0.37134037582200852</v>
      </c>
      <c r="M64">
        <f t="shared" si="8"/>
        <v>6.7735858560078216E-2</v>
      </c>
      <c r="N64" s="10">
        <f t="shared" si="5"/>
        <v>9058.2415423892671</v>
      </c>
      <c r="P64" s="10">
        <f t="shared" si="13"/>
        <v>793720.23782133032</v>
      </c>
      <c r="Q64" s="26">
        <f t="shared" si="10"/>
        <v>0.40067254568389704</v>
      </c>
      <c r="R64" s="60">
        <f t="shared" si="11"/>
        <v>0.13520176380825324</v>
      </c>
      <c r="S64" s="61">
        <f t="shared" si="12"/>
        <v>42997.122924890806</v>
      </c>
      <c r="T64" s="10"/>
    </row>
    <row r="65" spans="2:20" x14ac:dyDescent="0.3">
      <c r="B65">
        <v>94</v>
      </c>
      <c r="C65" s="10">
        <f t="shared" si="14"/>
        <v>174467.6683166</v>
      </c>
      <c r="D65" s="10">
        <f t="shared" si="3"/>
        <v>4057249.1809268636</v>
      </c>
      <c r="E65" s="5"/>
      <c r="I65" s="43">
        <f t="shared" si="6"/>
        <v>4057249.1809268636</v>
      </c>
      <c r="J65" s="11">
        <f>VLOOKUP(B65,Decrementos!$B$9:$C$104,2,0)</f>
        <v>0.1060181</v>
      </c>
      <c r="K65" s="11">
        <f t="shared" si="4"/>
        <v>0.8939819</v>
      </c>
      <c r="L65" s="26">
        <f t="shared" si="7"/>
        <v>0.33693773980097397</v>
      </c>
      <c r="M65">
        <f t="shared" si="8"/>
        <v>6.2429362728182683E-2</v>
      </c>
      <c r="N65" s="10">
        <f t="shared" si="5"/>
        <v>8029.666537215694</v>
      </c>
      <c r="P65" s="10">
        <f t="shared" si="13"/>
        <v>841343.45209061028</v>
      </c>
      <c r="Q65" s="26">
        <f t="shared" si="10"/>
        <v>0.36355244603873615</v>
      </c>
      <c r="R65" s="60">
        <f t="shared" si="11"/>
        <v>0.12518681834097523</v>
      </c>
      <c r="S65" s="61">
        <f t="shared" si="12"/>
        <v>38291.201333166027</v>
      </c>
      <c r="T65" s="10"/>
    </row>
    <row r="66" spans="2:20" x14ac:dyDescent="0.3">
      <c r="B66">
        <v>95</v>
      </c>
      <c r="C66" s="10">
        <f t="shared" si="14"/>
        <v>174467.6683166</v>
      </c>
      <c r="D66" s="10">
        <f t="shared" si="3"/>
        <v>4300684.1317824759</v>
      </c>
      <c r="E66" s="5"/>
      <c r="I66" s="43">
        <f t="shared" si="6"/>
        <v>4300684.1317824759</v>
      </c>
      <c r="J66" s="11">
        <f>VLOOKUP(B66,Decrementos!$B$9:$C$104,2,0)</f>
        <v>0.12144629999999999</v>
      </c>
      <c r="K66" s="11">
        <f t="shared" si="4"/>
        <v>0.87855369999999999</v>
      </c>
      <c r="L66" s="26">
        <f t="shared" si="7"/>
        <v>0.30121624080898035</v>
      </c>
      <c r="M66">
        <f t="shared" si="8"/>
        <v>5.7538583159615374E-2</v>
      </c>
      <c r="N66" s="10">
        <f t="shared" si="5"/>
        <v>7012.9761660321647</v>
      </c>
      <c r="P66" s="10">
        <f t="shared" si="13"/>
        <v>891824.05921604694</v>
      </c>
      <c r="Q66" s="26">
        <f t="shared" si="10"/>
        <v>0.32500930645935683</v>
      </c>
      <c r="R66" s="60">
        <f t="shared" si="11"/>
        <v>0.11591372068608817</v>
      </c>
      <c r="S66" s="61">
        <f t="shared" si="12"/>
        <v>33597.721644789519</v>
      </c>
      <c r="T66" s="10"/>
    </row>
    <row r="67" spans="2:20" x14ac:dyDescent="0.3">
      <c r="B67">
        <v>96</v>
      </c>
      <c r="C67" s="10">
        <f t="shared" si="14"/>
        <v>174467.6683166</v>
      </c>
      <c r="D67" s="10">
        <f t="shared" si="3"/>
        <v>4558725.1796894232</v>
      </c>
      <c r="E67" s="5"/>
      <c r="I67" s="43">
        <f t="shared" si="6"/>
        <v>4558725.1796894232</v>
      </c>
      <c r="J67" s="11">
        <f>VLOOKUP(B67,Decrementos!$B$9:$C$104,2,0)</f>
        <v>0.13920650000000001</v>
      </c>
      <c r="K67" s="11">
        <f t="shared" si="4"/>
        <v>0.86079349999999999</v>
      </c>
      <c r="L67" s="26">
        <f t="shared" si="7"/>
        <v>0.26463464286282068</v>
      </c>
      <c r="M67">
        <f t="shared" si="8"/>
        <v>5.3030952220843676E-2</v>
      </c>
      <c r="N67" s="10">
        <f t="shared" si="5"/>
        <v>6019.311270230538</v>
      </c>
      <c r="P67" s="10">
        <f t="shared" si="13"/>
        <v>945333.50276900979</v>
      </c>
      <c r="Q67" s="26">
        <f t="shared" si="10"/>
        <v>0.28553812872430184</v>
      </c>
      <c r="R67" s="60">
        <f t="shared" si="11"/>
        <v>0.10732751915378534</v>
      </c>
      <c r="S67" s="61">
        <f t="shared" si="12"/>
        <v>28970.784094773997</v>
      </c>
      <c r="T67" s="10"/>
    </row>
    <row r="68" spans="2:20" x14ac:dyDescent="0.3">
      <c r="B68">
        <v>97</v>
      </c>
      <c r="C68" s="10">
        <f t="shared" si="14"/>
        <v>174467.6683166</v>
      </c>
      <c r="D68" s="10">
        <f t="shared" si="3"/>
        <v>4832248.6904707896</v>
      </c>
      <c r="E68" s="5"/>
      <c r="I68" s="43">
        <f t="shared" si="6"/>
        <v>4832248.6904707896</v>
      </c>
      <c r="J68" s="11">
        <f>VLOOKUP(B68,Decrementos!$B$9:$C$104,2,0)</f>
        <v>0.1597394</v>
      </c>
      <c r="K68" s="11">
        <f t="shared" si="4"/>
        <v>0.84026060000000002</v>
      </c>
      <c r="L68" s="26">
        <f t="shared" si="7"/>
        <v>0.22779578045113744</v>
      </c>
      <c r="M68">
        <f t="shared" si="8"/>
        <v>4.8876453659763758E-2</v>
      </c>
      <c r="N68" s="10">
        <f t="shared" si="5"/>
        <v>5061.9972874144369</v>
      </c>
      <c r="P68" s="10">
        <f t="shared" si="13"/>
        <v>1002053.5129351504</v>
      </c>
      <c r="Q68" s="26">
        <f t="shared" si="10"/>
        <v>0.24578936520804232</v>
      </c>
      <c r="R68" s="60">
        <f t="shared" si="11"/>
        <v>9.9377332549801231E-2</v>
      </c>
      <c r="S68" s="61">
        <f t="shared" si="12"/>
        <v>24476.05036759808</v>
      </c>
      <c r="T68" s="10"/>
    </row>
    <row r="69" spans="2:20" x14ac:dyDescent="0.3">
      <c r="B69">
        <v>98</v>
      </c>
      <c r="C69" s="10">
        <f t="shared" si="14"/>
        <v>174467.6683166</v>
      </c>
      <c r="D69" s="10">
        <f t="shared" si="3"/>
        <v>5122183.611899036</v>
      </c>
      <c r="E69" s="5"/>
      <c r="I69" s="43">
        <f t="shared" si="6"/>
        <v>5122183.611899036</v>
      </c>
      <c r="J69" s="11">
        <f>VLOOKUP(B69,Decrementos!$B$9:$C$104,2,0)</f>
        <v>0.18341009999999999</v>
      </c>
      <c r="K69" s="11">
        <f t="shared" si="4"/>
        <v>0.81658989999999998</v>
      </c>
      <c r="L69" s="26">
        <f t="shared" si="7"/>
        <v>0.19140781915934102</v>
      </c>
      <c r="M69">
        <f t="shared" si="8"/>
        <v>4.5047422727892861E-2</v>
      </c>
      <c r="N69" s="10">
        <f t="shared" si="5"/>
        <v>4155.3923415635936</v>
      </c>
      <c r="P69" s="10">
        <f t="shared" si="13"/>
        <v>1062176.7237112597</v>
      </c>
      <c r="Q69" s="26">
        <f t="shared" si="10"/>
        <v>0.20652711948332877</v>
      </c>
      <c r="R69" s="60">
        <f t="shared" si="11"/>
        <v>9.2016048657223348E-2</v>
      </c>
      <c r="S69" s="61">
        <f t="shared" si="12"/>
        <v>20185.404086628405</v>
      </c>
      <c r="T69" s="10"/>
    </row>
    <row r="70" spans="2:20" x14ac:dyDescent="0.3">
      <c r="B70">
        <v>99</v>
      </c>
      <c r="C70" s="10">
        <f t="shared" si="14"/>
        <v>174467.6683166</v>
      </c>
      <c r="D70" s="10">
        <f t="shared" si="3"/>
        <v>5429514.6286129802</v>
      </c>
      <c r="E70" s="5"/>
      <c r="I70" s="43">
        <f t="shared" si="6"/>
        <v>5429514.6286129802</v>
      </c>
      <c r="J70" s="11">
        <f>VLOOKUP(B70,Decrementos!$B$9:$C$104,2,0)</f>
        <v>0.21082229999999999</v>
      </c>
      <c r="K70" s="11">
        <f t="shared" si="4"/>
        <v>0.78917769999999998</v>
      </c>
      <c r="L70" s="26">
        <f t="shared" si="7"/>
        <v>0.15630169190654436</v>
      </c>
      <c r="M70">
        <f t="shared" si="8"/>
        <v>4.1518361961191574E-2</v>
      </c>
      <c r="N70" s="10">
        <f t="shared" si="5"/>
        <v>3315.0659001453209</v>
      </c>
      <c r="P70" s="10">
        <f t="shared" si="13"/>
        <v>1125907.3271339352</v>
      </c>
      <c r="Q70" s="26">
        <f t="shared" si="10"/>
        <v>0.1686479598461795</v>
      </c>
      <c r="R70" s="60">
        <f t="shared" si="11"/>
        <v>8.5200045052984577E-2</v>
      </c>
      <c r="S70" s="61">
        <f t="shared" si="12"/>
        <v>16177.952713734305</v>
      </c>
      <c r="T70" s="10"/>
    </row>
    <row r="71" spans="2:20" x14ac:dyDescent="0.3">
      <c r="B71">
        <v>100</v>
      </c>
      <c r="C71" s="10">
        <f t="shared" si="14"/>
        <v>174467.6683166</v>
      </c>
      <c r="D71" s="10">
        <f t="shared" si="3"/>
        <v>5755285.5063297581</v>
      </c>
      <c r="E71" s="5"/>
      <c r="I71" s="43">
        <f t="shared" si="6"/>
        <v>5755285.5063297581</v>
      </c>
      <c r="J71" s="11">
        <f>VLOOKUP(B71,Decrementos!$B$9:$C$104,2,0)</f>
        <v>0.28497</v>
      </c>
      <c r="K71" s="11">
        <f t="shared" si="4"/>
        <v>0.71503000000000005</v>
      </c>
      <c r="L71" s="26">
        <f t="shared" si="7"/>
        <v>0.12334980972491529</v>
      </c>
      <c r="M71">
        <f t="shared" si="8"/>
        <v>3.8265771392803301E-2</v>
      </c>
      <c r="N71" s="10">
        <f t="shared" si="5"/>
        <v>2555.8955275305257</v>
      </c>
      <c r="P71" s="10">
        <f t="shared" si="13"/>
        <v>1193461.7667619712</v>
      </c>
      <c r="Q71" s="26">
        <f t="shared" si="10"/>
        <v>0.13309320906110028</v>
      </c>
      <c r="R71" s="60">
        <f t="shared" si="11"/>
        <v>7.8888930604615354E-2</v>
      </c>
      <c r="S71" s="61">
        <f t="shared" si="12"/>
        <v>12530.848411234823</v>
      </c>
      <c r="T71" s="10"/>
    </row>
    <row r="72" spans="2:20" x14ac:dyDescent="0.3">
      <c r="B72">
        <v>101</v>
      </c>
      <c r="C72" s="10">
        <f t="shared" si="14"/>
        <v>174467.6683166</v>
      </c>
      <c r="D72" s="10">
        <f t="shared" si="3"/>
        <v>6100602.6367095457</v>
      </c>
      <c r="E72" s="5"/>
      <c r="I72" s="43">
        <f t="shared" si="6"/>
        <v>6100602.6367095457</v>
      </c>
      <c r="J72" s="11">
        <f>VLOOKUP(B72,Decrementos!$B$9:$C$104,2,0)</f>
        <v>0.32308999999999999</v>
      </c>
      <c r="K72" s="11">
        <f t="shared" si="4"/>
        <v>0.67691000000000001</v>
      </c>
      <c r="L72" s="26">
        <f t="shared" si="7"/>
        <v>8.8198814447606189E-2</v>
      </c>
      <c r="M72">
        <f t="shared" si="8"/>
        <v>3.5267992067099817E-2</v>
      </c>
      <c r="N72" s="10">
        <f t="shared" si="5"/>
        <v>1785.4327168600571</v>
      </c>
      <c r="P72" s="10">
        <f t="shared" si="13"/>
        <v>1265069.4727676897</v>
      </c>
      <c r="Q72" s="26">
        <f t="shared" si="10"/>
        <v>9.5165637274958539E-2</v>
      </c>
      <c r="R72" s="60">
        <f t="shared" si="11"/>
        <v>7.3045306115384581E-2</v>
      </c>
      <c r="S72" s="61">
        <f t="shared" si="12"/>
        <v>8794.0078628281044</v>
      </c>
      <c r="T72" s="10"/>
    </row>
    <row r="73" spans="2:20" x14ac:dyDescent="0.3">
      <c r="B73">
        <v>102</v>
      </c>
      <c r="C73" s="10">
        <f t="shared" si="14"/>
        <v>174467.6683166</v>
      </c>
      <c r="D73" s="10">
        <f t="shared" si="3"/>
        <v>6466638.7949121185</v>
      </c>
      <c r="E73" s="5"/>
      <c r="I73" s="43">
        <f t="shared" si="6"/>
        <v>6466638.7949121185</v>
      </c>
      <c r="J73" s="11">
        <f>VLOOKUP(B73,Decrementos!$B$9:$C$104,2,0)</f>
        <v>0.36630000000000001</v>
      </c>
      <c r="K73" s="11">
        <f t="shared" si="4"/>
        <v>0.63369999999999993</v>
      </c>
      <c r="L73" s="26">
        <f t="shared" si="7"/>
        <v>5.9702659487729105E-2</v>
      </c>
      <c r="M73">
        <f t="shared" si="8"/>
        <v>3.2505061812995222E-2</v>
      </c>
      <c r="N73" s="10">
        <f t="shared" si="5"/>
        <v>1180.7298580570744</v>
      </c>
      <c r="P73" s="10">
        <f t="shared" si="13"/>
        <v>1340973.6411337513</v>
      </c>
      <c r="Q73" s="26">
        <f t="shared" si="10"/>
        <v>6.4418571527792193E-2</v>
      </c>
      <c r="R73" s="60">
        <f t="shared" si="11"/>
        <v>6.7634542699430159E-2</v>
      </c>
      <c r="S73" s="61">
        <f t="shared" si="12"/>
        <v>5842.5157168264732</v>
      </c>
      <c r="T73" s="10"/>
    </row>
    <row r="74" spans="2:20" x14ac:dyDescent="0.3">
      <c r="B74">
        <v>103</v>
      </c>
      <c r="C74" s="10">
        <f t="shared" si="14"/>
        <v>174467.6683166</v>
      </c>
      <c r="D74" s="10">
        <f t="shared" si="3"/>
        <v>6854637.1226068465</v>
      </c>
      <c r="E74" s="5"/>
      <c r="I74" s="43">
        <f t="shared" si="6"/>
        <v>6854637.1226068465</v>
      </c>
      <c r="J74" s="11">
        <f>VLOOKUP(B74,Decrementos!$B$9:$C$104,2,0)</f>
        <v>0.4153</v>
      </c>
      <c r="K74" s="11">
        <f t="shared" si="4"/>
        <v>0.5847</v>
      </c>
      <c r="L74" s="26">
        <f t="shared" si="7"/>
        <v>3.7833575317373927E-2</v>
      </c>
      <c r="M74">
        <f t="shared" si="8"/>
        <v>2.9958582316124624E-2</v>
      </c>
      <c r="N74" s="10">
        <f t="shared" si="5"/>
        <v>730.98822277770864</v>
      </c>
      <c r="P74" s="10">
        <f t="shared" si="13"/>
        <v>1421432.0596017763</v>
      </c>
      <c r="Q74" s="26">
        <f t="shared" si="10"/>
        <v>4.0822048777161911E-2</v>
      </c>
      <c r="R74" s="60">
        <f t="shared" si="11"/>
        <v>6.2624576573546434E-2</v>
      </c>
      <c r="S74" s="61">
        <f t="shared" si="12"/>
        <v>3633.8392058686213</v>
      </c>
      <c r="T74" s="10"/>
    </row>
    <row r="75" spans="2:20" x14ac:dyDescent="0.3">
      <c r="B75">
        <v>104</v>
      </c>
      <c r="C75" s="10">
        <f t="shared" si="14"/>
        <v>174467.6683166</v>
      </c>
      <c r="D75" s="10">
        <f t="shared" si="3"/>
        <v>7265915.3499632552</v>
      </c>
      <c r="E75" s="5"/>
      <c r="I75" s="43">
        <f t="shared" si="6"/>
        <v>7265915.3499632552</v>
      </c>
      <c r="J75" s="11">
        <f>VLOOKUP(B75,Decrementos!$B$9:$C$104,2,0)</f>
        <v>0.47084999999999999</v>
      </c>
      <c r="K75" s="11">
        <f t="shared" si="4"/>
        <v>0.52915000000000001</v>
      </c>
      <c r="L75" s="26">
        <f t="shared" si="7"/>
        <v>2.2121291488068535E-2</v>
      </c>
      <c r="M75">
        <f t="shared" si="8"/>
        <v>2.761159660472317E-2</v>
      </c>
      <c r="N75" s="10">
        <f t="shared" si="5"/>
        <v>417.56068450655664</v>
      </c>
      <c r="P75" s="10">
        <f t="shared" si="13"/>
        <v>1506717.9831778829</v>
      </c>
      <c r="Q75" s="26">
        <f t="shared" si="10"/>
        <v>2.3868651920006569E-2</v>
      </c>
      <c r="R75" s="60">
        <f t="shared" si="11"/>
        <v>5.7985719049580033E-2</v>
      </c>
      <c r="S75" s="61">
        <f t="shared" si="12"/>
        <v>2085.3593802700611</v>
      </c>
      <c r="T75" s="10"/>
    </row>
    <row r="76" spans="2:20" x14ac:dyDescent="0.3">
      <c r="B76">
        <v>105</v>
      </c>
      <c r="C76" s="10">
        <f t="shared" si="14"/>
        <v>174467.6683166</v>
      </c>
      <c r="D76" s="10">
        <f t="shared" si="3"/>
        <v>7701870.2709610509</v>
      </c>
      <c r="E76" s="5"/>
      <c r="I76" s="43">
        <f t="shared" si="6"/>
        <v>7701870.2709610509</v>
      </c>
      <c r="J76" s="11">
        <f>VLOOKUP(B76,Decrementos!$B$9:$C$104,2,0)</f>
        <v>0.53383000000000003</v>
      </c>
      <c r="K76" s="11">
        <f t="shared" si="4"/>
        <v>0.46616999999999997</v>
      </c>
      <c r="L76" s="26">
        <f t="shared" si="7"/>
        <v>1.1705481390911465E-2</v>
      </c>
      <c r="M76">
        <f t="shared" si="8"/>
        <v>2.5448476133385405E-2</v>
      </c>
      <c r="N76" s="10">
        <f t="shared" si="5"/>
        <v>215.86117085626088</v>
      </c>
      <c r="P76" s="10">
        <f t="shared" si="13"/>
        <v>1597121.0621685563</v>
      </c>
      <c r="Q76" s="26">
        <f t="shared" si="10"/>
        <v>1.2630097163471476E-2</v>
      </c>
      <c r="R76" s="60">
        <f t="shared" si="11"/>
        <v>5.3690480601462989E-2</v>
      </c>
      <c r="S76" s="61">
        <f t="shared" si="12"/>
        <v>1083.0333250315714</v>
      </c>
      <c r="T76" s="10"/>
    </row>
    <row r="77" spans="2:20" x14ac:dyDescent="0.3">
      <c r="B77">
        <v>106</v>
      </c>
      <c r="C77" s="10">
        <f t="shared" si="14"/>
        <v>174467.6683166</v>
      </c>
      <c r="D77" s="10">
        <f t="shared" si="3"/>
        <v>8163982.4872187143</v>
      </c>
      <c r="E77" s="5"/>
      <c r="I77" s="43">
        <f t="shared" si="6"/>
        <v>8163982.4872187143</v>
      </c>
      <c r="J77" s="11">
        <f>VLOOKUP(B77,Decrementos!$B$9:$C$104,2,0)</f>
        <v>0.60523000000000005</v>
      </c>
      <c r="K77" s="11">
        <f t="shared" si="4"/>
        <v>0.39476999999999995</v>
      </c>
      <c r="L77" s="26">
        <f t="shared" si="7"/>
        <v>5.4567442600011971E-3</v>
      </c>
      <c r="M77">
        <f t="shared" si="8"/>
        <v>2.3454816712797609E-2</v>
      </c>
      <c r="N77" s="10">
        <f t="shared" si="5"/>
        <v>98.309384460043262</v>
      </c>
      <c r="P77" s="10">
        <f t="shared" si="13"/>
        <v>1692948.3258986697</v>
      </c>
      <c r="Q77" s="26">
        <f t="shared" si="10"/>
        <v>5.887772394695498E-3</v>
      </c>
      <c r="R77" s="60">
        <f t="shared" si="11"/>
        <v>4.9713407964317585E-2</v>
      </c>
      <c r="S77" s="61">
        <f t="shared" si="12"/>
        <v>495.52805910904243</v>
      </c>
      <c r="T77" s="10"/>
    </row>
    <row r="78" spans="2:20" x14ac:dyDescent="0.3">
      <c r="B78">
        <v>107</v>
      </c>
      <c r="C78" s="10">
        <f t="shared" si="14"/>
        <v>174467.6683166</v>
      </c>
      <c r="D78" s="10">
        <f t="shared" ref="D78:D81" si="15">C78*1.06^(B78-$B$11)</f>
        <v>8653821.4364518374</v>
      </c>
      <c r="E78" s="5"/>
      <c r="I78" s="43">
        <f t="shared" si="6"/>
        <v>8653821.4364518374</v>
      </c>
      <c r="J78" s="11">
        <f>VLOOKUP(B78,Decrementos!$B$9:$C$104,2,0)</f>
        <v>0.68618000000000001</v>
      </c>
      <c r="K78" s="11">
        <f t="shared" si="4"/>
        <v>0.31381999999999999</v>
      </c>
      <c r="L78" s="26">
        <f t="shared" si="7"/>
        <v>2.1541589315206724E-3</v>
      </c>
      <c r="M78">
        <f t="shared" si="8"/>
        <v>2.1617342592440192E-2</v>
      </c>
      <c r="N78" s="10">
        <f t="shared" si="5"/>
        <v>37.915365387547233</v>
      </c>
      <c r="P78" s="10">
        <f t="shared" si="13"/>
        <v>1794525.2254525898</v>
      </c>
      <c r="Q78" s="26">
        <f t="shared" si="10"/>
        <v>2.3243159082539416E-3</v>
      </c>
      <c r="R78" s="60">
        <f t="shared" si="11"/>
        <v>4.6030933300294057E-2</v>
      </c>
      <c r="S78" s="61">
        <f t="shared" si="12"/>
        <v>191.99702648902337</v>
      </c>
      <c r="T78" s="10"/>
    </row>
    <row r="79" spans="2:20" x14ac:dyDescent="0.3">
      <c r="B79">
        <v>108</v>
      </c>
      <c r="C79" s="10">
        <f t="shared" si="14"/>
        <v>174467.6683166</v>
      </c>
      <c r="D79" s="10">
        <f t="shared" si="15"/>
        <v>9173050.7226389498</v>
      </c>
      <c r="E79" s="5"/>
      <c r="I79" s="43">
        <f t="shared" si="6"/>
        <v>9173050.7226389498</v>
      </c>
      <c r="J79" s="11">
        <f>VLOOKUP(B79,Decrementos!$B$9:$C$104,2,0)</f>
        <v>0.77795999999999998</v>
      </c>
      <c r="K79" s="11">
        <f t="shared" si="4"/>
        <v>0.22204000000000002</v>
      </c>
      <c r="L79" s="26">
        <f t="shared" si="7"/>
        <v>6.7601815588981735E-4</v>
      </c>
      <c r="M79">
        <f t="shared" si="8"/>
        <v>1.9923818057548566E-2</v>
      </c>
      <c r="N79" s="10">
        <f t="shared" si="5"/>
        <v>11.624438676382747</v>
      </c>
      <c r="P79" s="10">
        <f t="shared" si="13"/>
        <v>1902196.738979745</v>
      </c>
      <c r="Q79" s="26">
        <f t="shared" si="10"/>
        <v>7.2941681832825193E-4</v>
      </c>
      <c r="R79" s="60">
        <f t="shared" si="11"/>
        <v>4.2621234537309309E-2</v>
      </c>
      <c r="S79" s="61">
        <f t="shared" si="12"/>
        <v>59.136719688844835</v>
      </c>
      <c r="T79" s="10"/>
    </row>
    <row r="80" spans="2:20" x14ac:dyDescent="0.3">
      <c r="B80">
        <v>109</v>
      </c>
      <c r="C80" s="10">
        <f t="shared" si="14"/>
        <v>174467.6683166</v>
      </c>
      <c r="D80" s="10">
        <f t="shared" si="15"/>
        <v>9723433.7659972869</v>
      </c>
      <c r="E80" s="5"/>
      <c r="I80" s="43">
        <f t="shared" si="6"/>
        <v>9723433.7659972869</v>
      </c>
      <c r="J80" s="11">
        <f>VLOOKUP(B80,Decrementos!$B$9:$C$104,2,0)</f>
        <v>0.88202000000000003</v>
      </c>
      <c r="K80" s="11">
        <f t="shared" si="4"/>
        <v>0.11797999999999997</v>
      </c>
      <c r="L80" s="26">
        <f t="shared" si="7"/>
        <v>1.5010307133377505E-4</v>
      </c>
      <c r="M80">
        <f t="shared" si="8"/>
        <v>1.8362965951657664E-2</v>
      </c>
      <c r="N80" s="10">
        <f t="shared" si="5"/>
        <v>2.5216182355080798</v>
      </c>
      <c r="P80" s="10">
        <f t="shared" si="13"/>
        <v>2016328.5433185298</v>
      </c>
      <c r="Q80" s="26">
        <f t="shared" si="10"/>
        <v>1.6195971034160508E-4</v>
      </c>
      <c r="R80" s="60">
        <f t="shared" si="11"/>
        <v>3.9464106053064177E-2</v>
      </c>
      <c r="S80" s="61">
        <f t="shared" si="12"/>
        <v>12.88755580934609</v>
      </c>
      <c r="T80" s="10"/>
    </row>
    <row r="81" spans="2:20" x14ac:dyDescent="0.3">
      <c r="B81">
        <v>110</v>
      </c>
      <c r="C81" s="10">
        <f t="shared" si="14"/>
        <v>174467.6683166</v>
      </c>
      <c r="D81" s="10">
        <f t="shared" si="15"/>
        <v>10306839.791957125</v>
      </c>
      <c r="E81" s="5"/>
      <c r="I81" s="43">
        <f t="shared" si="6"/>
        <v>10306839.791957125</v>
      </c>
      <c r="J81" s="11">
        <f>VLOOKUP(B81,Decrementos!$B$9:$C$104,2,0)</f>
        <v>1</v>
      </c>
      <c r="K81" s="11">
        <f t="shared" si="4"/>
        <v>0</v>
      </c>
      <c r="L81" s="26">
        <f t="shared" si="7"/>
        <v>1.7709160355958776E-5</v>
      </c>
      <c r="M81">
        <f t="shared" si="8"/>
        <v>1.6924392582172963E-2</v>
      </c>
      <c r="N81" s="10">
        <f t="shared" si="5"/>
        <v>0.29064566874724224</v>
      </c>
      <c r="P81" s="10">
        <f t="shared" si="13"/>
        <v>2137308.2559176423</v>
      </c>
      <c r="Q81" s="26">
        <f t="shared" si="10"/>
        <v>1.9108006626102564E-5</v>
      </c>
      <c r="R81" s="60">
        <f t="shared" si="11"/>
        <v>3.6540838938022388E-2</v>
      </c>
      <c r="S81" s="61">
        <f t="shared" si="12"/>
        <v>1.49231691152764</v>
      </c>
      <c r="T8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Datos </vt:lpstr>
      <vt:lpstr>Decrementos</vt:lpstr>
      <vt:lpstr>Calculo actuarial</vt:lpstr>
      <vt:lpstr>qxi</vt:lpstr>
      <vt:lpstr>qxm</vt:lpstr>
      <vt:lpstr>qxr</vt:lpstr>
      <vt:lpstr>qxw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Sagahon</dc:creator>
  <cp:lastModifiedBy>Omar Sagahon</cp:lastModifiedBy>
  <dcterms:created xsi:type="dcterms:W3CDTF">2022-06-07T21:24:06Z</dcterms:created>
  <dcterms:modified xsi:type="dcterms:W3CDTF">2022-06-08T15:09:01Z</dcterms:modified>
</cp:coreProperties>
</file>